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21072" windowHeight="7740" activeTab="4"/>
  </bookViews>
  <sheets>
    <sheet name="Relatório - Todas Ofertas" sheetId="8" r:id="rId1"/>
    <sheet name="Relatórios (Ocultar)" sheetId="4" state="hidden" r:id="rId2"/>
    <sheet name="Relatório - Follow-On" sheetId="10" r:id="rId3"/>
    <sheet name="Relatório - IPO" sheetId="9" r:id="rId4"/>
    <sheet name="Ofertas por setor" sheetId="2" r:id="rId5"/>
    <sheet name="Rankings de IPO" sheetId="3" r:id="rId6"/>
    <sheet name="Ofertas 2021" sheetId="1" r:id="rId7"/>
    <sheet name="IPO por mês" sheetId="5" r:id="rId8"/>
  </sheets>
  <definedNames>
    <definedName name="_xlnm._FilterDatabase" localSheetId="6" hidden="1">'Ofertas 2021'!$A$5:$P$77</definedName>
    <definedName name="_xlnm._FilterDatabase" localSheetId="4" hidden="1">'Ofertas por setor'!#REF!</definedName>
    <definedName name="_xlnm._FilterDatabase" localSheetId="5" hidden="1">'Rankings de IPO'!$B$20:$K$20</definedName>
  </definedNames>
  <calcPr calcId="145621"/>
</workbook>
</file>

<file path=xl/calcChain.xml><?xml version="1.0" encoding="utf-8"?>
<calcChain xmlns="http://schemas.openxmlformats.org/spreadsheetml/2006/main">
  <c r="H28" i="4" l="1"/>
  <c r="G28" i="4"/>
  <c r="F28" i="4"/>
  <c r="E28" i="4"/>
  <c r="D28" i="4"/>
  <c r="C28" i="4"/>
  <c r="C30" i="4"/>
  <c r="C31" i="4"/>
  <c r="P7" i="5"/>
  <c r="O7" i="5"/>
  <c r="G7" i="5"/>
  <c r="F8" i="5"/>
  <c r="F7" i="5"/>
  <c r="C22" i="4"/>
  <c r="D22" i="4"/>
  <c r="E22" i="4"/>
  <c r="C23" i="4"/>
  <c r="D23" i="4"/>
  <c r="E23" i="4"/>
  <c r="C24" i="4"/>
  <c r="D24" i="4"/>
  <c r="E24" i="4"/>
  <c r="H30" i="4"/>
  <c r="H31" i="4"/>
  <c r="H29" i="4"/>
  <c r="F30" i="4"/>
  <c r="F31" i="4"/>
  <c r="F29" i="4"/>
  <c r="D30" i="4"/>
  <c r="D31" i="4"/>
  <c r="D29" i="4"/>
  <c r="D10" i="4"/>
  <c r="G30" i="4"/>
  <c r="G31" i="4"/>
  <c r="E30" i="4"/>
  <c r="E31" i="4"/>
  <c r="C29" i="4"/>
  <c r="E29" i="4"/>
  <c r="G29" i="4"/>
  <c r="E21" i="4"/>
  <c r="D21" i="4"/>
  <c r="C21" i="4"/>
  <c r="E17" i="4"/>
  <c r="L10" i="10" s="1"/>
  <c r="D17" i="4"/>
  <c r="L11" i="9" s="1"/>
  <c r="E16" i="4"/>
  <c r="L9" i="10" s="1"/>
  <c r="D16" i="4"/>
  <c r="L10" i="9" s="1"/>
  <c r="E15" i="4"/>
  <c r="L8" i="10" s="1"/>
  <c r="D15" i="4"/>
  <c r="L9" i="9" s="1"/>
  <c r="C17" i="4"/>
  <c r="L10" i="8" s="1"/>
  <c r="C16" i="4"/>
  <c r="L9" i="8" s="1"/>
  <c r="C15" i="4"/>
  <c r="L8" i="8" s="1"/>
  <c r="H11" i="4"/>
  <c r="H10" i="4"/>
  <c r="F10" i="4"/>
  <c r="G11" i="4"/>
  <c r="G10" i="4"/>
  <c r="E10" i="4"/>
  <c r="F11" i="4"/>
  <c r="E11" i="4"/>
  <c r="C10" i="4"/>
  <c r="D11" i="4"/>
  <c r="C11" i="4"/>
  <c r="D6" i="4"/>
  <c r="H32" i="4" s="1"/>
  <c r="D5" i="4"/>
  <c r="F32" i="4" s="1"/>
  <c r="D4" i="4"/>
  <c r="C6" i="4"/>
  <c r="C5" i="4"/>
  <c r="E32" i="4" s="1"/>
  <c r="C4" i="4"/>
  <c r="Y8" i="5"/>
  <c r="Y9" i="5"/>
  <c r="Y10" i="5"/>
  <c r="Y11" i="5"/>
  <c r="Y12" i="5"/>
  <c r="Y13" i="5"/>
  <c r="Y14" i="5"/>
  <c r="Y15" i="5"/>
  <c r="Y16" i="5"/>
  <c r="Y17" i="5"/>
  <c r="Y18" i="5"/>
  <c r="Y7" i="5"/>
  <c r="X8" i="5"/>
  <c r="X9" i="5"/>
  <c r="X10" i="5"/>
  <c r="X11" i="5"/>
  <c r="X12" i="5"/>
  <c r="X13" i="5"/>
  <c r="X14" i="5"/>
  <c r="X15" i="5"/>
  <c r="X16" i="5"/>
  <c r="X17" i="5"/>
  <c r="X18" i="5"/>
  <c r="X7" i="5"/>
  <c r="P8" i="5"/>
  <c r="P9" i="5"/>
  <c r="P10" i="5"/>
  <c r="P11" i="5"/>
  <c r="P12" i="5"/>
  <c r="P13" i="5"/>
  <c r="P14" i="5"/>
  <c r="P15" i="5"/>
  <c r="P16" i="5"/>
  <c r="P17" i="5"/>
  <c r="P18" i="5"/>
  <c r="O8" i="5"/>
  <c r="O9" i="5"/>
  <c r="O10" i="5"/>
  <c r="O11" i="5"/>
  <c r="O12" i="5"/>
  <c r="O13" i="5"/>
  <c r="O14" i="5"/>
  <c r="O15" i="5"/>
  <c r="O16" i="5"/>
  <c r="O17" i="5"/>
  <c r="O18" i="5"/>
  <c r="G8" i="5"/>
  <c r="G9" i="5"/>
  <c r="G10" i="5"/>
  <c r="G11" i="5"/>
  <c r="G12" i="5"/>
  <c r="G13" i="5"/>
  <c r="G14" i="5"/>
  <c r="G15" i="5"/>
  <c r="G16" i="5"/>
  <c r="G17" i="5"/>
  <c r="G18" i="5"/>
  <c r="F9" i="5"/>
  <c r="F10" i="5"/>
  <c r="F11" i="5"/>
  <c r="F12" i="5"/>
  <c r="F13" i="5"/>
  <c r="F14" i="5"/>
  <c r="F15" i="5"/>
  <c r="F16" i="5"/>
  <c r="F17" i="5"/>
  <c r="F18" i="5"/>
  <c r="D50" i="2"/>
  <c r="D51" i="2"/>
  <c r="D52" i="2"/>
  <c r="D53" i="2"/>
  <c r="D54" i="2"/>
  <c r="D55" i="2"/>
  <c r="D56" i="2"/>
  <c r="D49" i="2"/>
  <c r="D29" i="2"/>
  <c r="D30" i="2"/>
  <c r="D31" i="2"/>
  <c r="D32" i="2"/>
  <c r="D33" i="2"/>
  <c r="D34" i="2"/>
  <c r="D35" i="2"/>
  <c r="D36" i="2"/>
  <c r="D37" i="2"/>
  <c r="D28" i="2"/>
  <c r="D8" i="2"/>
  <c r="D9" i="2"/>
  <c r="D10" i="2"/>
  <c r="D11" i="2"/>
  <c r="D12" i="2"/>
  <c r="D13" i="2"/>
  <c r="D14" i="2"/>
  <c r="D15" i="2"/>
  <c r="D16" i="2"/>
  <c r="D7" i="2"/>
  <c r="C49" i="2"/>
  <c r="C50" i="2"/>
  <c r="C51" i="2"/>
  <c r="C52" i="2"/>
  <c r="C53" i="2"/>
  <c r="C54" i="2"/>
  <c r="C55" i="2"/>
  <c r="C56" i="2"/>
  <c r="C28" i="2"/>
  <c r="C37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7" i="2"/>
  <c r="G32" i="4" l="1"/>
  <c r="C32" i="4"/>
  <c r="D32" i="4"/>
</calcChain>
</file>

<file path=xl/sharedStrings.xml><?xml version="1.0" encoding="utf-8"?>
<sst xmlns="http://schemas.openxmlformats.org/spreadsheetml/2006/main" count="955" uniqueCount="302">
  <si>
    <t>Líder</t>
  </si>
  <si>
    <t>Nome do Emissor</t>
  </si>
  <si>
    <t>Tipo de Oferta</t>
  </si>
  <si>
    <t>Tipo de Ativo</t>
  </si>
  <si>
    <t>Volume financeiro total</t>
  </si>
  <si>
    <t>Mista</t>
  </si>
  <si>
    <t>S</t>
  </si>
  <si>
    <t>N</t>
  </si>
  <si>
    <t>AÇÕES ORDINÁRIAS</t>
  </si>
  <si>
    <t>BANCO MORGAN STANLEY S.A.</t>
  </si>
  <si>
    <t>XP INVESTIMENTOS CCTVM S.A.</t>
  </si>
  <si>
    <t>Primária</t>
  </si>
  <si>
    <t>Secundária</t>
  </si>
  <si>
    <t>BANCO SANTANDER (BRASIL) S.A.</t>
  </si>
  <si>
    <t>AÇÔES PREFERENCIAIS</t>
  </si>
  <si>
    <t>GOLDMAN SACHS DO BRASIL BANCO MULTIPLO S.A.</t>
  </si>
  <si>
    <t>IPO</t>
  </si>
  <si>
    <t>BANCO ITAU BBA S.A.</t>
  </si>
  <si>
    <t>CNPJ</t>
  </si>
  <si>
    <t>Preço</t>
  </si>
  <si>
    <t>03.378.521/0001-75</t>
  </si>
  <si>
    <t>BANCO BRADESCO BBI S.A.</t>
  </si>
  <si>
    <t>14.785.152/0001-51</t>
  </si>
  <si>
    <t>BANCO BTG PACTUAL S.A.</t>
  </si>
  <si>
    <t>10.629.105/0001-68</t>
  </si>
  <si>
    <t>23.373.000/0001-32</t>
  </si>
  <si>
    <t>09.149.503/0001-06</t>
  </si>
  <si>
    <t>07.628.528/0001-59</t>
  </si>
  <si>
    <t>02.351.877/0001-52</t>
  </si>
  <si>
    <t>12.091.809/0001-55</t>
  </si>
  <si>
    <t>61.486.650/0001-83</t>
  </si>
  <si>
    <t>20.247.322/0001-47</t>
  </si>
  <si>
    <t>01.599.101/0001-93</t>
  </si>
  <si>
    <t>05.197.443/0001-38</t>
  </si>
  <si>
    <t>92.754.738/0001-62</t>
  </si>
  <si>
    <t>38.456.921/0001-36</t>
  </si>
  <si>
    <t>06.047.087/0001-39</t>
  </si>
  <si>
    <t>18.174.270/0001-84</t>
  </si>
  <si>
    <t>04.149.454/0001-80</t>
  </si>
  <si>
    <t>94.813.102/0001-70</t>
  </si>
  <si>
    <t>14.110.585/0001-07</t>
  </si>
  <si>
    <t>10.285.590/0001-08</t>
  </si>
  <si>
    <t>05.917.486/0001-40</t>
  </si>
  <si>
    <t>47.960.950/0001-21</t>
  </si>
  <si>
    <t>21.240.146/0001-84</t>
  </si>
  <si>
    <t>BANCO J.P. MORGAN S.A.</t>
  </si>
  <si>
    <t>12.420.164/0001-57</t>
  </si>
  <si>
    <t>13.270.520/0001-66</t>
  </si>
  <si>
    <t>45.365.558/0001-09</t>
  </si>
  <si>
    <t>04.065.791/0001-99</t>
  </si>
  <si>
    <t>53.113.791/0001-22</t>
  </si>
  <si>
    <t>37.663.076/0001-07</t>
  </si>
  <si>
    <t>18.328.118/0001-09</t>
  </si>
  <si>
    <t>30.306.294/0001-45</t>
  </si>
  <si>
    <t>UNIT</t>
  </si>
  <si>
    <t>08.364.948/0001-38</t>
  </si>
  <si>
    <t>10.739.356/0001-03</t>
  </si>
  <si>
    <t>00.416.968/0001-01</t>
  </si>
  <si>
    <t>82.901.000/0001-27</t>
  </si>
  <si>
    <t>31.553.627/0001-01</t>
  </si>
  <si>
    <t>09.042.817/0001-05</t>
  </si>
  <si>
    <t>14.776.142/0001-50</t>
  </si>
  <si>
    <t>09.347.516/0001-81</t>
  </si>
  <si>
    <t>58.430.828/0001-60</t>
  </si>
  <si>
    <t>09.229.201/0001-30</t>
  </si>
  <si>
    <t>10.807.374/0001-77</t>
  </si>
  <si>
    <t>22.543.331/0001-00</t>
  </si>
  <si>
    <t>30.723.886/0001-62</t>
  </si>
  <si>
    <t>34.274.233/0001-02</t>
  </si>
  <si>
    <t>07.594.978/0001-78</t>
  </si>
  <si>
    <t>61.409.892/0001-73</t>
  </si>
  <si>
    <t>08.170.849/0001-15</t>
  </si>
  <si>
    <t>59.717.553/0001-02</t>
  </si>
  <si>
    <t>02.255.187/0001-08</t>
  </si>
  <si>
    <t>19.796.586/0001-70</t>
  </si>
  <si>
    <t>03.802.115/0001-98</t>
  </si>
  <si>
    <t>12.104.241/0004-02</t>
  </si>
  <si>
    <t>24.410.913/0001-44</t>
  </si>
  <si>
    <t>NU INVEST CORRETORA DE VALORES S.A.</t>
  </si>
  <si>
    <t>26.659.061/0001-59</t>
  </si>
  <si>
    <t>09.083.175/0001-84</t>
  </si>
  <si>
    <t>26.735.020/0001-02</t>
  </si>
  <si>
    <t>02.635.522/0001-95</t>
  </si>
  <si>
    <t>62.984.091/0001-02</t>
  </si>
  <si>
    <t>09.114.805/0001-30</t>
  </si>
  <si>
    <t>11.421.994/0001-36</t>
  </si>
  <si>
    <t>08.902.291/0001-15</t>
  </si>
  <si>
    <t>16.676.520/0001-59</t>
  </si>
  <si>
    <t>03.342.704/0001-30</t>
  </si>
  <si>
    <t>14.127.813/0001-51</t>
  </si>
  <si>
    <t>38.307.135/0001-77</t>
  </si>
  <si>
    <t>00.242.184/0001-04</t>
  </si>
  <si>
    <t>26.345.998/0001-50</t>
  </si>
  <si>
    <t>33.453.598/0001-23</t>
  </si>
  <si>
    <t>BDR</t>
  </si>
  <si>
    <t>Instrução CVM</t>
  </si>
  <si>
    <t>BANCO DE INVESTIMENTOS CREDIT SUISSE (BRASIL) S.A.</t>
  </si>
  <si>
    <t>Ticker</t>
  </si>
  <si>
    <t>LIGT3</t>
  </si>
  <si>
    <t>HBRE3</t>
  </si>
  <si>
    <t>BPAC11</t>
  </si>
  <si>
    <t>PRIO3</t>
  </si>
  <si>
    <t>VAMO3</t>
  </si>
  <si>
    <t>AGRO3</t>
  </si>
  <si>
    <t>ESPA3</t>
  </si>
  <si>
    <t>LWSA3</t>
  </si>
  <si>
    <t>INTB3</t>
  </si>
  <si>
    <t>MOSI3</t>
  </si>
  <si>
    <t>MBLY3</t>
  </si>
  <si>
    <t>POWE3</t>
  </si>
  <si>
    <t>JALL3</t>
  </si>
  <si>
    <t>BMOB3</t>
  </si>
  <si>
    <t>CSED3</t>
  </si>
  <si>
    <t>WEST3</t>
  </si>
  <si>
    <t>OPCT3</t>
  </si>
  <si>
    <t>ELMD3</t>
  </si>
  <si>
    <t>ORVR3</t>
  </si>
  <si>
    <t>CMIN3</t>
  </si>
  <si>
    <t>RRRP3</t>
  </si>
  <si>
    <t>DASA3</t>
  </si>
  <si>
    <t>ALLD3</t>
  </si>
  <si>
    <t>SEQL3</t>
  </si>
  <si>
    <t>ALUP11</t>
  </si>
  <si>
    <t>HAPV3</t>
  </si>
  <si>
    <t>MATD3</t>
  </si>
  <si>
    <t>BLAU3</t>
  </si>
  <si>
    <t>LREN3</t>
  </si>
  <si>
    <t>GGPS3</t>
  </si>
  <si>
    <t>SOJA3</t>
  </si>
  <si>
    <t>CXSE3</t>
  </si>
  <si>
    <t>MODL11</t>
  </si>
  <si>
    <t>IFCM3</t>
  </si>
  <si>
    <t>RECV3</t>
  </si>
  <si>
    <t>NINJ3</t>
  </si>
  <si>
    <t>G2DI33</t>
  </si>
  <si>
    <t>RDOR3</t>
  </si>
  <si>
    <t>DOTZ3</t>
  </si>
  <si>
    <t>ECOR3</t>
  </si>
  <si>
    <t>BRBI11</t>
  </si>
  <si>
    <t>BIDI11</t>
  </si>
  <si>
    <t>TTEN3</t>
  </si>
  <si>
    <t>CASH3</t>
  </si>
  <si>
    <t>SOMA3</t>
  </si>
  <si>
    <t>LVTC3</t>
  </si>
  <si>
    <t>SMFT3</t>
  </si>
  <si>
    <t>CBAV3</t>
  </si>
  <si>
    <t>MGLU3</t>
  </si>
  <si>
    <t>AGXY3</t>
  </si>
  <si>
    <t>DESK3</t>
  </si>
  <si>
    <t>MLAS3</t>
  </si>
  <si>
    <t>FIQE3</t>
  </si>
  <si>
    <t>ARML3</t>
  </si>
  <si>
    <t>TRAD3</t>
  </si>
  <si>
    <t>BRIT3</t>
  </si>
  <si>
    <t>CLSA3</t>
  </si>
  <si>
    <t>RAIZ4</t>
  </si>
  <si>
    <t>VVEO3</t>
  </si>
  <si>
    <t>ONCO3</t>
  </si>
  <si>
    <t>KRSA3</t>
  </si>
  <si>
    <t>VITT3</t>
  </si>
  <si>
    <t>SQIA3</t>
  </si>
  <si>
    <t>TOTS3</t>
  </si>
  <si>
    <t>AESB3</t>
  </si>
  <si>
    <t>PETZ3</t>
  </si>
  <si>
    <t>NUBR33</t>
  </si>
  <si>
    <t>Petróleo. Gás e Biocombustíveis</t>
  </si>
  <si>
    <t>Consumo não Cíclico</t>
  </si>
  <si>
    <t>Agropecuária</t>
  </si>
  <si>
    <t>Utilidade Pública</t>
  </si>
  <si>
    <t>Energia Elétrica</t>
  </si>
  <si>
    <t>Consumo Cíclico</t>
  </si>
  <si>
    <t>Comércio</t>
  </si>
  <si>
    <t>Bens Industriais</t>
  </si>
  <si>
    <t>Máquinas e Equipamentos</t>
  </si>
  <si>
    <t>Financeiro</t>
  </si>
  <si>
    <t>Intermediários Financeiros</t>
  </si>
  <si>
    <t>Tecnologia da Informação</t>
  </si>
  <si>
    <t>Programas e Serviços</t>
  </si>
  <si>
    <t>Saúde</t>
  </si>
  <si>
    <t>Comércio e Distribuição</t>
  </si>
  <si>
    <t>Medicamentos e Outros Produtos</t>
  </si>
  <si>
    <t>Comunicações</t>
  </si>
  <si>
    <t>Telecomunicações</t>
  </si>
  <si>
    <t>Previdência e Seguros</t>
  </si>
  <si>
    <t>Materiais Básicos</t>
  </si>
  <si>
    <t>Mineração</t>
  </si>
  <si>
    <t>Serviços Financeiros Diversos</t>
  </si>
  <si>
    <t>Diversos</t>
  </si>
  <si>
    <t>Serv.Méd.Hospit..Análises e Diagnósticos</t>
  </si>
  <si>
    <t>Transporte</t>
  </si>
  <si>
    <t>Mídia</t>
  </si>
  <si>
    <t>Serviços Diversos</t>
  </si>
  <si>
    <t>Exploração de Imóveis</t>
  </si>
  <si>
    <t>Computadores e Equipamentos</t>
  </si>
  <si>
    <t>Alimentos Processados</t>
  </si>
  <si>
    <t>Água e Saneamento</t>
  </si>
  <si>
    <t>Viagens e Lazer</t>
  </si>
  <si>
    <t>Químicos</t>
  </si>
  <si>
    <t>3R PETROLEUM</t>
  </si>
  <si>
    <t>3TENTOS</t>
  </si>
  <si>
    <t>AES BRASIL</t>
  </si>
  <si>
    <t>AGROGALAXY</t>
  </si>
  <si>
    <t>ALLIED</t>
  </si>
  <si>
    <t>ALUPAR</t>
  </si>
  <si>
    <t>ARMAC</t>
  </si>
  <si>
    <t>BANCO INTER</t>
  </si>
  <si>
    <t>BEMOBI TECH</t>
  </si>
  <si>
    <t>BLAU</t>
  </si>
  <si>
    <t>BOA SAFRA</t>
  </si>
  <si>
    <t>BR PARTNERS</t>
  </si>
  <si>
    <t>BRASILAGRO</t>
  </si>
  <si>
    <t>BRISANET</t>
  </si>
  <si>
    <t>BTGP BANCO</t>
  </si>
  <si>
    <t>CAIXA SEGURI</t>
  </si>
  <si>
    <t>CBA</t>
  </si>
  <si>
    <t>CLEARSALE</t>
  </si>
  <si>
    <t>CRUZEIRO EDU</t>
  </si>
  <si>
    <t>CSNMINERACAO</t>
  </si>
  <si>
    <t>DASA</t>
  </si>
  <si>
    <t>DESKTOP</t>
  </si>
  <si>
    <t>DOTZ SA</t>
  </si>
  <si>
    <t>ECORODOVIAS</t>
  </si>
  <si>
    <t>ELETROMIDIA</t>
  </si>
  <si>
    <t>ESPACOLASER</t>
  </si>
  <si>
    <t>FOCUS ON</t>
  </si>
  <si>
    <t>G2D INVESTMENTS LTD.</t>
  </si>
  <si>
    <t>GETNINJAS</t>
  </si>
  <si>
    <t>GPS</t>
  </si>
  <si>
    <t>GRUPO SOMA</t>
  </si>
  <si>
    <t>HAPVIDA</t>
  </si>
  <si>
    <t>HBR REALTY</t>
  </si>
  <si>
    <t>INFRACOMM</t>
  </si>
  <si>
    <t>INTELBRAS</t>
  </si>
  <si>
    <t>JALLESMACHAD</t>
  </si>
  <si>
    <t>KORA SAUDE</t>
  </si>
  <si>
    <t>LIGHT S/A</t>
  </si>
  <si>
    <t>LOCAWEB</t>
  </si>
  <si>
    <t>LOJAS RENNER</t>
  </si>
  <si>
    <t>MAGAZ LUIZA</t>
  </si>
  <si>
    <t>MATER DEI</t>
  </si>
  <si>
    <t>MELIUZ</t>
  </si>
  <si>
    <t>MOBLY</t>
  </si>
  <si>
    <t>MODALMAIS</t>
  </si>
  <si>
    <t>MOSAICO</t>
  </si>
  <si>
    <t>MULTILASER</t>
  </si>
  <si>
    <t>NU-NUBANK</t>
  </si>
  <si>
    <t>OCEANPACT</t>
  </si>
  <si>
    <t>ONCOCLINICAS</t>
  </si>
  <si>
    <t>ORIZON</t>
  </si>
  <si>
    <t>PETRORECSA</t>
  </si>
  <si>
    <t>PETRORIO</t>
  </si>
  <si>
    <t>PETZ</t>
  </si>
  <si>
    <t>RAIZEN</t>
  </si>
  <si>
    <t>REDE D OR</t>
  </si>
  <si>
    <t>SEQUOIA LOG</t>
  </si>
  <si>
    <t>SINQIA</t>
  </si>
  <si>
    <t>SMART FIT</t>
  </si>
  <si>
    <t>TC</t>
  </si>
  <si>
    <t>TOTVS</t>
  </si>
  <si>
    <t>UNIFIQUE</t>
  </si>
  <si>
    <t>VAMOS</t>
  </si>
  <si>
    <t>VITTIA</t>
  </si>
  <si>
    <t>VIVEO</t>
  </si>
  <si>
    <t>WDC NETWORKS</t>
  </si>
  <si>
    <t>WESTWING</t>
  </si>
  <si>
    <t>Setor B3</t>
  </si>
  <si>
    <t>Subsetor B3</t>
  </si>
  <si>
    <t>Retorno 2021- Diário</t>
  </si>
  <si>
    <t>Início de Negociação B3</t>
  </si>
  <si>
    <t>Data de Registro CVM</t>
  </si>
  <si>
    <t>Nº</t>
  </si>
  <si>
    <t>Todas as Ofertas</t>
  </si>
  <si>
    <t>Follow-On</t>
  </si>
  <si>
    <t>#</t>
  </si>
  <si>
    <t>Top 10 Volume da Oferta</t>
  </si>
  <si>
    <t>Top 10 Retornos</t>
  </si>
  <si>
    <t>Volume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</si>
  <si>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</si>
  <si>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</si>
  <si>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</si>
  <si>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</si>
  <si>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</si>
  <si>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</si>
  <si>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</si>
  <si>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</si>
  <si>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</si>
  <si>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</si>
  <si>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</si>
  <si>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</si>
  <si>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</si>
  <si>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Volume</t>
  </si>
  <si>
    <t>Ofertas</t>
  </si>
  <si>
    <t>Todas</t>
  </si>
  <si>
    <t>BANK OF AMERICA MERRILL LYNCH BANCO MÚLTIPLO S.A.</t>
  </si>
  <si>
    <t>Outros</t>
  </si>
  <si>
    <t>MEGA3</t>
  </si>
  <si>
    <t>OMEGAENERGIA*</t>
  </si>
  <si>
    <t>VBBR3</t>
  </si>
  <si>
    <t>* Houve reestruturação societária e mudança de ticker de OMEGA GER (OMGE3) para OMEGAENERGIA (MEGA3)</t>
  </si>
  <si>
    <t>VIBRA**</t>
  </si>
  <si>
    <t>** Houve mudança de nome de pregão e ticker de BR DISTRIBUIDORA (BRDT3) para VIBRA (VBBR3)</t>
  </si>
  <si>
    <t>* Em ofertas mistas ocorrem ofertas primárias e secundárias, o número total de ofertas é obtido por: (Primária + Secundárias - Mistas)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</si>
</sst>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/m/yyyy"/>
    <numFmt numFmtId="165" formatCode="&quot; &quot;#,##0&quot; &quot;;&quot; (&quot;#,##0&quot;)&quot;;&quot; -&quot;00&quot; &quot;;&quot; &quot;@&quot; &quot;"/>
    <numFmt numFmtId="166" formatCode="&quot; &quot;#,##0.00&quot; &quot;;&quot; (&quot;#,##0.00&quot;)&quot;;&quot; -&quot;00&quot; &quot;;&quot; &quot;@&quot; &quot;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 style="thin">
        <color rgb="FFCCCCFF"/>
      </left>
      <right style="thin">
        <color rgb="FFCCCC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Border="0" applyAlignment="0" applyProtection="0"/>
  </cellStyleXfs>
  <cellXfs count="67">
    <xf numFmtId="0" fontId="0" fillId="0" borderId="0" xfId="0"/>
    <xf numFmtId="0" fontId="0" fillId="0" borderId="8" xfId="0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165" fontId="1" fillId="0" borderId="2" xfId="2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left"/>
    </xf>
    <xf numFmtId="2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10" fontId="5" fillId="3" borderId="3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/>
    </xf>
    <xf numFmtId="0" fontId="0" fillId="0" borderId="0" xfId="0" applyFill="1"/>
    <xf numFmtId="0" fontId="0" fillId="10" borderId="0" xfId="0" applyFill="1"/>
    <xf numFmtId="0" fontId="5" fillId="3" borderId="4" xfId="1" applyFont="1" applyFill="1" applyBorder="1" applyAlignment="1">
      <alignment horizontal="center" vertical="center" wrapText="1"/>
    </xf>
    <xf numFmtId="0" fontId="0" fillId="10" borderId="4" xfId="0" applyFill="1" applyBorder="1"/>
    <xf numFmtId="43" fontId="0" fillId="10" borderId="4" xfId="2" applyNumberFormat="1" applyFont="1" applyFill="1" applyBorder="1"/>
    <xf numFmtId="0" fontId="5" fillId="6" borderId="4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10" fontId="5" fillId="4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2" fillId="2" borderId="4" xfId="1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10" fontId="0" fillId="0" borderId="4" xfId="0" applyNumberFormat="1" applyBorder="1"/>
    <xf numFmtId="0" fontId="5" fillId="7" borderId="4" xfId="1" applyFont="1" applyFill="1" applyBorder="1" applyAlignment="1">
      <alignment horizontal="center" vertical="center" wrapText="1"/>
    </xf>
    <xf numFmtId="2" fontId="0" fillId="0" borderId="4" xfId="0" applyNumberFormat="1" applyBorder="1"/>
    <xf numFmtId="165" fontId="1" fillId="0" borderId="4" xfId="2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 vertical="center" wrapText="1"/>
    </xf>
    <xf numFmtId="0" fontId="0" fillId="0" borderId="4" xfId="0" applyFill="1" applyBorder="1"/>
    <xf numFmtId="164" fontId="2" fillId="0" borderId="5" xfId="1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0" fontId="0" fillId="0" borderId="0" xfId="0" applyNumberFormat="1" applyFill="1"/>
    <xf numFmtId="164" fontId="2" fillId="0" borderId="6" xfId="1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164" fontId="2" fillId="0" borderId="7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43" fontId="0" fillId="0" borderId="4" xfId="2" applyNumberFormat="1" applyFont="1" applyBorder="1"/>
    <xf numFmtId="0" fontId="5" fillId="5" borderId="4" xfId="1" applyFont="1" applyFill="1" applyBorder="1" applyAlignment="1">
      <alignment horizontal="center" vertical="center" wrapText="1"/>
    </xf>
    <xf numFmtId="0" fontId="0" fillId="14" borderId="4" xfId="0" applyFill="1" applyBorder="1"/>
    <xf numFmtId="0" fontId="0" fillId="12" borderId="4" xfId="0" applyFill="1" applyBorder="1"/>
    <xf numFmtId="0" fontId="0" fillId="13" borderId="4" xfId="0" applyFill="1" applyBorder="1"/>
    <xf numFmtId="43" fontId="0" fillId="0" borderId="4" xfId="2" applyNumberFormat="1" applyFont="1" applyFill="1" applyBorder="1"/>
    <xf numFmtId="0" fontId="0" fillId="0" borderId="0" xfId="0" applyBorder="1"/>
    <xf numFmtId="43" fontId="0" fillId="0" borderId="0" xfId="2" applyNumberFormat="1" applyFont="1" applyBorder="1"/>
    <xf numFmtId="0" fontId="5" fillId="0" borderId="4" xfId="1" applyFont="1" applyFill="1" applyBorder="1" applyAlignment="1">
      <alignment horizontal="center" vertical="center"/>
    </xf>
    <xf numFmtId="0" fontId="7" fillId="0" borderId="0" xfId="0" applyFont="1"/>
    <xf numFmtId="43" fontId="0" fillId="0" borderId="4" xfId="0" applyNumberFormat="1" applyBorder="1"/>
    <xf numFmtId="0" fontId="9" fillId="10" borderId="0" xfId="0" applyFont="1" applyFill="1"/>
    <xf numFmtId="0" fontId="8" fillId="10" borderId="9" xfId="0" applyFont="1" applyFill="1" applyBorder="1"/>
    <xf numFmtId="0" fontId="9" fillId="10" borderId="9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Instrução </a:t>
            </a:r>
          </a:p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CVM</a:t>
            </a:r>
          </a:p>
        </c:rich>
      </c:tx>
      <c:layout>
        <c:manualLayout>
          <c:xMode val="edge"/>
          <c:yMode val="edge"/>
          <c:x val="2.4509803921568631E-2"/>
          <c:y val="0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'Relatórios (Ocultar)'!$B$9</c:f>
              <c:strCache>
                <c:ptCount val="1"/>
                <c:pt idx="0">
                  <c:v>Instrução CVM</c:v>
                </c:pt>
              </c:strCache>
            </c:strRef>
          </c:tx>
          <c:dPt>
            <c:idx val="1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'Relatórios (Ocultar)'!$B$10:$B$11</c:f>
              <c:numCache>
                <c:formatCode>General</c:formatCode>
                <c:ptCount val="2"/>
                <c:pt idx="0">
                  <c:v>400</c:v>
                </c:pt>
                <c:pt idx="1">
                  <c:v>476</c:v>
                </c:pt>
              </c:numCache>
            </c:numRef>
          </c:cat>
          <c:val>
            <c:numRef>
              <c:f>'Relatórios (Ocultar)'!$C$10:$C$11</c:f>
              <c:numCache>
                <c:formatCode>General</c:formatCode>
                <c:ptCount val="2"/>
                <c:pt idx="0">
                  <c:v>35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8905203026092332"/>
          <c:y val="0.83715757752503162"/>
          <c:w val="0.31094797560951293"/>
          <c:h val="0.12177039594347892"/>
        </c:manualLayout>
      </c:layout>
      <c:overlay val="1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Ofertas</a:t>
            </a:r>
            <a:r>
              <a:rPr lang="en-US" sz="1600" baseline="0"/>
              <a:t> 2021 - </a:t>
            </a:r>
            <a:r>
              <a:rPr lang="en-US" sz="1600" b="1" i="0" u="none" strike="noStrike" baseline="0"/>
              <a:t>Setor B3</a:t>
            </a:r>
            <a:br>
              <a:rPr lang="en-US" sz="1600" b="1" i="0" u="none" strike="noStrike" baseline="0"/>
            </a:br>
            <a:r>
              <a:rPr lang="en-US" sz="1600" b="1" i="0" u="none" strike="noStrike" baseline="0"/>
              <a:t>(Número de Ofertas)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setor'!$B$6</c:f>
              <c:strCache>
                <c:ptCount val="1"/>
                <c:pt idx="0">
                  <c:v>Setor B3</c:v>
                </c:pt>
              </c:strCache>
            </c:strRef>
          </c:tx>
          <c:invertIfNegative val="0"/>
          <c:cat>
            <c:strRef>
              <c:f>'Ofertas por setor'!$B$7:$B$16</c:f>
              <c:strCache>
                <c:ptCount val="10"/>
                <c:pt idx="0">
                  <c:v>Tecnologia da Informação</c:v>
                </c:pt>
                <c:pt idx="1">
                  <c:v>Consumo Cíclico</c:v>
                </c:pt>
                <c:pt idx="2">
                  <c:v>Financeiro</c:v>
                </c:pt>
                <c:pt idx="3">
                  <c:v>Saúde</c:v>
                </c:pt>
                <c:pt idx="4">
                  <c:v>Utilidade Pública</c:v>
                </c:pt>
                <c:pt idx="5">
                  <c:v>Petróleo. Gás e Biocombustíveis</c:v>
                </c:pt>
                <c:pt idx="6">
                  <c:v>Consumo não Cíclico</c:v>
                </c:pt>
                <c:pt idx="7">
                  <c:v>Comunicações</c:v>
                </c:pt>
                <c:pt idx="8">
                  <c:v>Bens Industriais</c:v>
                </c:pt>
                <c:pt idx="9">
                  <c:v>Materiais Básicos</c:v>
                </c:pt>
              </c:strCache>
            </c:strRef>
          </c:cat>
          <c:val>
            <c:numRef>
              <c:f>'Ofertas por setor'!$C$7:$C$16</c:f>
              <c:numCache>
                <c:formatCode>General</c:formatCode>
                <c:ptCount val="10"/>
                <c:pt idx="0">
                  <c:v>14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663424"/>
        <c:axId val="139873664"/>
      </c:barChart>
      <c:catAx>
        <c:axId val="186663424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39873664"/>
        <c:crosses val="autoZero"/>
        <c:auto val="1"/>
        <c:lblAlgn val="ctr"/>
        <c:lblOffset val="100"/>
        <c:noMultiLvlLbl val="0"/>
      </c:catAx>
      <c:valAx>
        <c:axId val="1398736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8666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IPO 2021</a:t>
            </a:r>
            <a:r>
              <a:rPr lang="en-US" sz="1600" baseline="0"/>
              <a:t> - </a:t>
            </a:r>
            <a:r>
              <a:rPr lang="en-US" sz="1600" b="1" i="0" u="none" strike="noStrike" baseline="0"/>
              <a:t>Setor B3</a:t>
            </a:r>
          </a:p>
          <a:p>
            <a:pPr>
              <a:defRPr sz="1600"/>
            </a:pPr>
            <a:r>
              <a:rPr lang="en-US" sz="1600" b="1" i="0" u="none" strike="noStrike" baseline="0"/>
              <a:t>(Número de Ofertas)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setor'!$B$27</c:f>
              <c:strCache>
                <c:ptCount val="1"/>
                <c:pt idx="0">
                  <c:v>Setor B3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'Ofertas por setor'!$B$28:$B$37</c:f>
              <c:strCache>
                <c:ptCount val="10"/>
                <c:pt idx="0">
                  <c:v>Tecnologia da Informação</c:v>
                </c:pt>
                <c:pt idx="1">
                  <c:v>Financeiro</c:v>
                </c:pt>
                <c:pt idx="2">
                  <c:v>Consumo Cíclico</c:v>
                </c:pt>
                <c:pt idx="3">
                  <c:v>Saúde</c:v>
                </c:pt>
                <c:pt idx="4">
                  <c:v>Consumo não Cíclico</c:v>
                </c:pt>
                <c:pt idx="5">
                  <c:v>Comunicações</c:v>
                </c:pt>
                <c:pt idx="6">
                  <c:v>Materiais Básicos</c:v>
                </c:pt>
                <c:pt idx="7">
                  <c:v>Utilidade Pública</c:v>
                </c:pt>
                <c:pt idx="8">
                  <c:v>Petróleo. Gás e Biocombustíveis</c:v>
                </c:pt>
                <c:pt idx="9">
                  <c:v>Bens Industriais</c:v>
                </c:pt>
              </c:strCache>
            </c:strRef>
          </c:cat>
          <c:val>
            <c:numRef>
              <c:f>'Ofertas por setor'!$C$28:$C$37</c:f>
              <c:numCache>
                <c:formatCode>General</c:formatCode>
                <c:ptCount val="10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666496"/>
        <c:axId val="139875968"/>
      </c:barChart>
      <c:catAx>
        <c:axId val="18666649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39875968"/>
        <c:crosses val="autoZero"/>
        <c:auto val="1"/>
        <c:lblAlgn val="ctr"/>
        <c:lblOffset val="100"/>
        <c:noMultiLvlLbl val="0"/>
      </c:catAx>
      <c:valAx>
        <c:axId val="1398759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8666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Follow-On 2021</a:t>
            </a:r>
            <a:r>
              <a:rPr lang="en-US" sz="1600" baseline="0"/>
              <a:t> - </a:t>
            </a:r>
            <a:r>
              <a:rPr lang="en-US" sz="1600" b="1" i="0" u="none" strike="noStrike" baseline="0"/>
              <a:t>Setor B3</a:t>
            </a:r>
          </a:p>
          <a:p>
            <a:pPr>
              <a:defRPr sz="1600"/>
            </a:pPr>
            <a:r>
              <a:rPr lang="en-US" sz="1600" b="1" i="0" u="none" strike="noStrike" baseline="0"/>
              <a:t>(Número de Ofertas)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setor'!$B$48</c:f>
              <c:strCache>
                <c:ptCount val="1"/>
                <c:pt idx="0">
                  <c:v>Setor B3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'Ofertas por setor'!$B$49:$B$56</c:f>
              <c:strCache>
                <c:ptCount val="8"/>
                <c:pt idx="0">
                  <c:v>Consumo Cíclico</c:v>
                </c:pt>
                <c:pt idx="1">
                  <c:v>Tecnologia da Informação</c:v>
                </c:pt>
                <c:pt idx="2">
                  <c:v>Utilidade Pública</c:v>
                </c:pt>
                <c:pt idx="3">
                  <c:v>Petróleo. Gás e Biocombustíveis</c:v>
                </c:pt>
                <c:pt idx="4">
                  <c:v>Financeiro</c:v>
                </c:pt>
                <c:pt idx="5">
                  <c:v>Saúde</c:v>
                </c:pt>
                <c:pt idx="6">
                  <c:v>Bens Industriais</c:v>
                </c:pt>
                <c:pt idx="7">
                  <c:v>Consumo não Cíclico</c:v>
                </c:pt>
              </c:strCache>
            </c:strRef>
          </c:cat>
          <c:val>
            <c:numRef>
              <c:f>'Ofertas por setor'!$C$49:$C$56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288000"/>
        <c:axId val="139877696"/>
      </c:barChart>
      <c:catAx>
        <c:axId val="140288000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39877696"/>
        <c:crosses val="autoZero"/>
        <c:auto val="1"/>
        <c:lblAlgn val="ctr"/>
        <c:lblOffset val="100"/>
        <c:noMultiLvlLbl val="0"/>
      </c:catAx>
      <c:valAx>
        <c:axId val="1398776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028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Ofertas</a:t>
            </a:r>
            <a:r>
              <a:rPr lang="en-US" sz="1600" baseline="0"/>
              <a:t> 2021 - </a:t>
            </a:r>
            <a:r>
              <a:rPr lang="en-US" sz="1600" b="1" i="0" u="none" strike="noStrike" baseline="0"/>
              <a:t>Setor B3</a:t>
            </a:r>
          </a:p>
          <a:p>
            <a:pPr>
              <a:defRPr sz="1600"/>
            </a:pPr>
            <a:r>
              <a:rPr lang="en-US" sz="1600" b="1" i="0" u="none" strike="noStrike" baseline="0"/>
              <a:t>(Bilhões de R$)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setor'!$B$6</c:f>
              <c:strCache>
                <c:ptCount val="1"/>
                <c:pt idx="0">
                  <c:v>Setor B3</c:v>
                </c:pt>
              </c:strCache>
            </c:strRef>
          </c:tx>
          <c:invertIfNegative val="0"/>
          <c:cat>
            <c:strRef>
              <c:f>'Ofertas por setor'!$B$7:$B$16</c:f>
              <c:strCache>
                <c:ptCount val="10"/>
                <c:pt idx="0">
                  <c:v>Tecnologia da Informação</c:v>
                </c:pt>
                <c:pt idx="1">
                  <c:v>Consumo Cíclico</c:v>
                </c:pt>
                <c:pt idx="2">
                  <c:v>Financeiro</c:v>
                </c:pt>
                <c:pt idx="3">
                  <c:v>Saúde</c:v>
                </c:pt>
                <c:pt idx="4">
                  <c:v>Utilidade Pública</c:v>
                </c:pt>
                <c:pt idx="5">
                  <c:v>Petróleo. Gás e Biocombustíveis</c:v>
                </c:pt>
                <c:pt idx="6">
                  <c:v>Consumo não Cíclico</c:v>
                </c:pt>
                <c:pt idx="7">
                  <c:v>Comunicações</c:v>
                </c:pt>
                <c:pt idx="8">
                  <c:v>Bens Industriais</c:v>
                </c:pt>
                <c:pt idx="9">
                  <c:v>Materiais Básicos</c:v>
                </c:pt>
              </c:strCache>
            </c:strRef>
          </c:cat>
          <c:val>
            <c:numRef>
              <c:f>'Ofertas por setor'!$D$7:$D$16</c:f>
              <c:numCache>
                <c:formatCode>_(* #,##0.00_);_(* \(#,##0.00\);_(* "-"??_);_(@_)</c:formatCode>
                <c:ptCount val="10"/>
                <c:pt idx="0">
                  <c:v>16281828059.400002</c:v>
                </c:pt>
                <c:pt idx="1">
                  <c:v>19172538091.700001</c:v>
                </c:pt>
                <c:pt idx="2">
                  <c:v>20438886050.119999</c:v>
                </c:pt>
                <c:pt idx="3">
                  <c:v>20156555819.68</c:v>
                </c:pt>
                <c:pt idx="4">
                  <c:v>7153575212.6400003</c:v>
                </c:pt>
                <c:pt idx="5">
                  <c:v>19047222996</c:v>
                </c:pt>
                <c:pt idx="6">
                  <c:v>10547319915.799999</c:v>
                </c:pt>
                <c:pt idx="7">
                  <c:v>4072426585.1199999</c:v>
                </c:pt>
                <c:pt idx="8">
                  <c:v>6886152407.8899994</c:v>
                </c:pt>
                <c:pt idx="9">
                  <c:v>7265251970.3999996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288512"/>
        <c:axId val="140027008"/>
      </c:barChart>
      <c:catAx>
        <c:axId val="140288512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40027008"/>
        <c:crosses val="autoZero"/>
        <c:auto val="1"/>
        <c:lblAlgn val="ctr"/>
        <c:lblOffset val="100"/>
        <c:noMultiLvlLbl val="0"/>
      </c:catAx>
      <c:valAx>
        <c:axId val="140027008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one"/>
        <c:crossAx val="140288512"/>
        <c:crosses val="autoZero"/>
        <c:crossBetween val="between"/>
        <c:majorUnit val="5000000000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IPO 2021 </a:t>
            </a:r>
            <a:r>
              <a:rPr lang="en-US" sz="1600" baseline="0"/>
              <a:t>- </a:t>
            </a:r>
            <a:r>
              <a:rPr lang="en-US" sz="1600" b="1" i="0" u="none" strike="noStrike" baseline="0"/>
              <a:t>Setor B3</a:t>
            </a:r>
          </a:p>
          <a:p>
            <a:pPr>
              <a:defRPr sz="1600"/>
            </a:pPr>
            <a:r>
              <a:rPr lang="en-US" sz="1600" b="1" i="0" u="none" strike="noStrike" baseline="0"/>
              <a:t>(Bilhões de R$)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setor'!$D$27</c:f>
              <c:strCache>
                <c:ptCount val="1"/>
                <c:pt idx="0">
                  <c:v>Volume (R$)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'Ofertas por setor'!$B$28:$B$37</c:f>
              <c:strCache>
                <c:ptCount val="10"/>
                <c:pt idx="0">
                  <c:v>Tecnologia da Informação</c:v>
                </c:pt>
                <c:pt idx="1">
                  <c:v>Financeiro</c:v>
                </c:pt>
                <c:pt idx="2">
                  <c:v>Consumo Cíclico</c:v>
                </c:pt>
                <c:pt idx="3">
                  <c:v>Saúde</c:v>
                </c:pt>
                <c:pt idx="4">
                  <c:v>Consumo não Cíclico</c:v>
                </c:pt>
                <c:pt idx="5">
                  <c:v>Comunicações</c:v>
                </c:pt>
                <c:pt idx="6">
                  <c:v>Materiais Básicos</c:v>
                </c:pt>
                <c:pt idx="7">
                  <c:v>Utilidade Pública</c:v>
                </c:pt>
                <c:pt idx="8">
                  <c:v>Petróleo. Gás e Biocombustíveis</c:v>
                </c:pt>
                <c:pt idx="9">
                  <c:v>Bens Industriais</c:v>
                </c:pt>
              </c:strCache>
            </c:strRef>
          </c:cat>
          <c:val>
            <c:numRef>
              <c:f>'Ofertas por setor'!$D$28:$D$37</c:f>
              <c:numCache>
                <c:formatCode>_(* #,##0.00_);_(* \(#,##0.00\);_(* "-"??_);_(@_)</c:formatCode>
                <c:ptCount val="10"/>
                <c:pt idx="0">
                  <c:v>10687095095.400002</c:v>
                </c:pt>
                <c:pt idx="1">
                  <c:v>9391598039.3199997</c:v>
                </c:pt>
                <c:pt idx="2">
                  <c:v>8452320340.1999998</c:v>
                </c:pt>
                <c:pt idx="3">
                  <c:v>8764854521.6800003</c:v>
                </c:pt>
                <c:pt idx="4">
                  <c:v>10047142105.799999</c:v>
                </c:pt>
                <c:pt idx="5">
                  <c:v>4072426585.1199999</c:v>
                </c:pt>
                <c:pt idx="6">
                  <c:v>7265251970.3999996</c:v>
                </c:pt>
                <c:pt idx="7">
                  <c:v>1441354503.6399999</c:v>
                </c:pt>
                <c:pt idx="8">
                  <c:v>2407374996</c:v>
                </c:pt>
                <c:pt idx="9">
                  <c:v>4021961307.8899999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289024"/>
        <c:axId val="140028736"/>
      </c:barChart>
      <c:catAx>
        <c:axId val="140289024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40028736"/>
        <c:crosses val="autoZero"/>
        <c:auto val="1"/>
        <c:lblAlgn val="ctr"/>
        <c:lblOffset val="100"/>
        <c:noMultiLvlLbl val="0"/>
      </c:catAx>
      <c:valAx>
        <c:axId val="140028736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one"/>
        <c:crossAx val="140289024"/>
        <c:crosses val="autoZero"/>
        <c:crossBetween val="between"/>
        <c:majorUnit val="5000000000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Follow-On 2021 </a:t>
            </a:r>
            <a:r>
              <a:rPr lang="en-US" sz="1600" baseline="0"/>
              <a:t>- </a:t>
            </a:r>
            <a:r>
              <a:rPr lang="en-US" sz="1600" b="1" i="0" u="none" strike="noStrike" baseline="0"/>
              <a:t>Setor B3</a:t>
            </a:r>
          </a:p>
          <a:p>
            <a:pPr>
              <a:defRPr sz="1600"/>
            </a:pPr>
            <a:r>
              <a:rPr lang="en-US" sz="1600" b="1" i="0" u="none" strike="noStrike" baseline="0"/>
              <a:t>(Bilhões de R$)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'Ofertas por setor'!$D$27</c:f>
              <c:strCache>
                <c:ptCount val="1"/>
                <c:pt idx="0">
                  <c:v>Volume (R$)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'Ofertas por setor'!$B$49:$B$56</c:f>
              <c:strCache>
                <c:ptCount val="8"/>
                <c:pt idx="0">
                  <c:v>Consumo Cíclico</c:v>
                </c:pt>
                <c:pt idx="1">
                  <c:v>Tecnologia da Informação</c:v>
                </c:pt>
                <c:pt idx="2">
                  <c:v>Utilidade Pública</c:v>
                </c:pt>
                <c:pt idx="3">
                  <c:v>Petróleo. Gás e Biocombustíveis</c:v>
                </c:pt>
                <c:pt idx="4">
                  <c:v>Financeiro</c:v>
                </c:pt>
                <c:pt idx="5">
                  <c:v>Saúde</c:v>
                </c:pt>
                <c:pt idx="6">
                  <c:v>Bens Industriais</c:v>
                </c:pt>
                <c:pt idx="7">
                  <c:v>Consumo não Cíclico</c:v>
                </c:pt>
              </c:strCache>
            </c:strRef>
          </c:cat>
          <c:val>
            <c:numRef>
              <c:f>'Ofertas por setor'!$D$49:$D$56</c:f>
              <c:numCache>
                <c:formatCode>_(* #,##0.00_);_(* \(#,##0.00\);_(* "-"??_);_(@_)</c:formatCode>
                <c:ptCount val="8"/>
                <c:pt idx="0">
                  <c:v>10720217751.5</c:v>
                </c:pt>
                <c:pt idx="1">
                  <c:v>5594732964</c:v>
                </c:pt>
                <c:pt idx="2">
                  <c:v>5712220709</c:v>
                </c:pt>
                <c:pt idx="3">
                  <c:v>16639848000</c:v>
                </c:pt>
                <c:pt idx="4">
                  <c:v>11047288010.799999</c:v>
                </c:pt>
                <c:pt idx="5">
                  <c:v>11391701298</c:v>
                </c:pt>
                <c:pt idx="6">
                  <c:v>2864191100</c:v>
                </c:pt>
                <c:pt idx="7">
                  <c:v>500177810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232256"/>
        <c:axId val="140030464"/>
      </c:barChart>
      <c:catAx>
        <c:axId val="18723225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cap="flat"/>
        </c:spPr>
        <c:crossAx val="140030464"/>
        <c:crosses val="autoZero"/>
        <c:auto val="1"/>
        <c:lblAlgn val="ctr"/>
        <c:lblOffset val="100"/>
        <c:noMultiLvlLbl val="0"/>
      </c:catAx>
      <c:valAx>
        <c:axId val="140030464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one"/>
        <c:crossAx val="187232256"/>
        <c:crosses val="autoZero"/>
        <c:crossBetween val="between"/>
        <c:majorUnit val="5000000000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Ofertas 2021</a:t>
            </a:r>
          </a:p>
          <a:p>
            <a:pPr>
              <a:defRPr sz="1200"/>
            </a:pPr>
            <a:r>
              <a:rPr lang="en-US" sz="1200"/>
              <a:t>Quantidade</a:t>
            </a:r>
          </a:p>
          <a:p>
            <a:pPr>
              <a:defRPr sz="1200"/>
            </a:pPr>
            <a:r>
              <a:rPr lang="en-US" sz="1200"/>
              <a:t>(Nº de Ofertas)</a:t>
            </a:r>
          </a:p>
        </c:rich>
      </c:tx>
      <c:layout>
        <c:manualLayout>
          <c:xMode val="edge"/>
          <c:yMode val="edge"/>
          <c:x val="1.4861585698014169E-2"/>
          <c:y val="4.4025135430527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79666220967663"/>
          <c:y val="7.4016797900262499E-2"/>
          <c:w val="0.65853594387658065"/>
          <c:h val="0.61233843460139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'IPO por mês'!$F$6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dLbls>
            <c:delete val="1"/>
          </c:dLbls>
          <c:cat>
            <c:strRef>
              <c:f>'IPO por mês'!$E$7:$E$18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mês'!$F$7:$F$18</c:f>
              <c:numCache>
                <c:formatCode>General</c:formatCode>
                <c:ptCount val="12"/>
                <c:pt idx="0">
                  <c:v>3</c:v>
                </c:pt>
                <c:pt idx="1">
                  <c:v>18</c:v>
                </c:pt>
                <c:pt idx="2">
                  <c:v>0</c:v>
                </c:pt>
                <c:pt idx="3">
                  <c:v>12</c:v>
                </c:pt>
                <c:pt idx="4">
                  <c:v>7</c:v>
                </c:pt>
                <c:pt idx="5">
                  <c:v>4</c:v>
                </c:pt>
                <c:pt idx="6">
                  <c:v>16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923456"/>
        <c:axId val="140032192"/>
      </c:barChart>
      <c:catAx>
        <c:axId val="1399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32192"/>
        <c:crosses val="autoZero"/>
        <c:auto val="1"/>
        <c:lblAlgn val="ctr"/>
        <c:lblOffset val="100"/>
        <c:noMultiLvlLbl val="0"/>
      </c:catAx>
      <c:valAx>
        <c:axId val="14003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13992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1"/>
          <a:lstStyle/>
          <a:p>
            <a:pPr>
              <a:defRPr sz="1200"/>
            </a:pPr>
            <a:r>
              <a:rPr lang="en-US" sz="1200"/>
              <a:t>Ofertas 2021 </a:t>
            </a:r>
          </a:p>
          <a:p>
            <a:pPr>
              <a:defRPr sz="1200"/>
            </a:pPr>
            <a:r>
              <a:rPr lang="en-US" sz="1200" baseline="0"/>
              <a:t> Volume</a:t>
            </a:r>
          </a:p>
          <a:p>
            <a:pPr>
              <a:defRPr sz="1200"/>
            </a:pPr>
            <a:r>
              <a:rPr lang="en-US" sz="1200" baseline="0"/>
              <a:t>(Bilhões de R$)</a:t>
            </a:r>
            <a:endParaRPr lang="en-US" sz="1200"/>
          </a:p>
        </c:rich>
      </c:tx>
      <c:layout>
        <c:manualLayout>
          <c:xMode val="edge"/>
          <c:yMode val="edge"/>
          <c:x val="1.496221166499051E-2"/>
          <c:y val="3.3214709371292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17204235684791"/>
          <c:y val="0.10001214261028761"/>
          <c:w val="0.65968332398686202"/>
          <c:h val="0.85679677940613308"/>
        </c:manualLayout>
      </c:layout>
      <c:lineChart>
        <c:grouping val="standard"/>
        <c:varyColors val="0"/>
        <c:ser>
          <c:idx val="0"/>
          <c:order val="0"/>
          <c:tx>
            <c:strRef>
              <c:f>'IPO por mês'!$G$6</c:f>
              <c:strCache>
                <c:ptCount val="1"/>
                <c:pt idx="0">
                  <c:v>Volume (R$)</c:v>
                </c:pt>
              </c:strCache>
            </c:strRef>
          </c:tx>
          <c:marker>
            <c:symbol val="none"/>
          </c:marker>
          <c:cat>
            <c:strRef>
              <c:f>'IPO por mês'!$E$7:$E$18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mês'!$G$7:$G$18</c:f>
              <c:numCache>
                <c:formatCode>_(* #,##0.00_);_(* \(#,##0.00\);_(* "-"??_);_(@_)</c:formatCode>
                <c:ptCount val="12"/>
                <c:pt idx="0">
                  <c:v>4852177040</c:v>
                </c:pt>
                <c:pt idx="1">
                  <c:v>28063954576.359997</c:v>
                </c:pt>
                <c:pt idx="2">
                  <c:v>0</c:v>
                </c:pt>
                <c:pt idx="3">
                  <c:v>21345465344.019997</c:v>
                </c:pt>
                <c:pt idx="4">
                  <c:v>12314501503.32</c:v>
                </c:pt>
                <c:pt idx="5">
                  <c:v>10848127290.24</c:v>
                </c:pt>
                <c:pt idx="6">
                  <c:v>32723800034.849998</c:v>
                </c:pt>
                <c:pt idx="7">
                  <c:v>12786303440.059999</c:v>
                </c:pt>
                <c:pt idx="8">
                  <c:v>4493747343.8999996</c:v>
                </c:pt>
                <c:pt idx="9">
                  <c:v>0</c:v>
                </c:pt>
                <c:pt idx="10">
                  <c:v>3188000000</c:v>
                </c:pt>
                <c:pt idx="11">
                  <c:v>405680536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480"/>
        <c:axId val="141664256"/>
      </c:lineChart>
      <c:catAx>
        <c:axId val="139924480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141664256"/>
        <c:crosses val="autoZero"/>
        <c:auto val="1"/>
        <c:lblAlgn val="ctr"/>
        <c:lblOffset val="100"/>
        <c:noMultiLvlLbl val="0"/>
      </c:catAx>
      <c:valAx>
        <c:axId val="1416642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high"/>
        <c:crossAx val="139924480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IPOs 2021</a:t>
            </a:r>
          </a:p>
          <a:p>
            <a:pPr>
              <a:defRPr sz="1200"/>
            </a:pPr>
            <a:r>
              <a:rPr lang="en-US" sz="1200"/>
              <a:t>Quantidade</a:t>
            </a:r>
          </a:p>
          <a:p>
            <a:pPr>
              <a:defRPr sz="1200"/>
            </a:pPr>
            <a:r>
              <a:rPr lang="en-US" sz="1200"/>
              <a:t>(Nº de Ofertas)</a:t>
            </a:r>
          </a:p>
        </c:rich>
      </c:tx>
      <c:layout>
        <c:manualLayout>
          <c:xMode val="edge"/>
          <c:yMode val="edge"/>
          <c:x val="1.4861585698014181E-2"/>
          <c:y val="4.4025135430527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79666220967663"/>
          <c:y val="7.401679790026254E-2"/>
          <c:w val="0.65858721363533279"/>
          <c:h val="0.61233843460139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'IPO por mês'!$O$6</c:f>
              <c:strCache>
                <c:ptCount val="1"/>
                <c:pt idx="0">
                  <c:v>Nº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'IPO por mês'!$N$7:$N$18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mês'!$O$7:$O$18</c:f>
              <c:numCache>
                <c:formatCode>General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91584"/>
        <c:axId val="141665984"/>
      </c:barChart>
      <c:catAx>
        <c:axId val="1402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65984"/>
        <c:crosses val="autoZero"/>
        <c:auto val="1"/>
        <c:lblAlgn val="ctr"/>
        <c:lblOffset val="100"/>
        <c:noMultiLvlLbl val="0"/>
      </c:catAx>
      <c:valAx>
        <c:axId val="14166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14029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1"/>
          <a:lstStyle/>
          <a:p>
            <a:pPr>
              <a:defRPr sz="1200"/>
            </a:pPr>
            <a:r>
              <a:rPr lang="en-US" sz="1200"/>
              <a:t>IPOs 2021 </a:t>
            </a:r>
          </a:p>
          <a:p>
            <a:pPr>
              <a:defRPr sz="1200"/>
            </a:pPr>
            <a:r>
              <a:rPr lang="en-US" sz="1200" baseline="0"/>
              <a:t> Volume</a:t>
            </a:r>
          </a:p>
          <a:p>
            <a:pPr>
              <a:defRPr sz="1200"/>
            </a:pPr>
            <a:r>
              <a:rPr lang="en-US" sz="1200" baseline="0"/>
              <a:t>(Bilhões de R$)</a:t>
            </a:r>
            <a:endParaRPr lang="en-US" sz="1200"/>
          </a:p>
        </c:rich>
      </c:tx>
      <c:layout>
        <c:manualLayout>
          <c:xMode val="edge"/>
          <c:yMode val="edge"/>
          <c:x val="1.4962211664990514E-2"/>
          <c:y val="3.3214709371292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17204235684788"/>
          <c:y val="0.10001214261028762"/>
          <c:w val="0.65968332398686202"/>
          <c:h val="0.8567967794061333"/>
        </c:manualLayout>
      </c:layout>
      <c:lineChart>
        <c:grouping val="standard"/>
        <c:varyColors val="0"/>
        <c:ser>
          <c:idx val="0"/>
          <c:order val="0"/>
          <c:tx>
            <c:strRef>
              <c:f>'IPO por mês'!$P$6</c:f>
              <c:strCache>
                <c:ptCount val="1"/>
                <c:pt idx="0">
                  <c:v>Volume (R$)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'IPO por mês'!$N$7:$N$18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mês'!$P$7:$P$18</c:f>
              <c:numCache>
                <c:formatCode>_(* #,##0.00_);_(* \(#,##0.00\);_(* "-"??_);_(@_)</c:formatCode>
                <c:ptCount val="12"/>
                <c:pt idx="0">
                  <c:v>2107326480</c:v>
                </c:pt>
                <c:pt idx="1">
                  <c:v>19235756823.799999</c:v>
                </c:pt>
                <c:pt idx="2">
                  <c:v>0</c:v>
                </c:pt>
                <c:pt idx="3">
                  <c:v>12229624019.02</c:v>
                </c:pt>
                <c:pt idx="4">
                  <c:v>3447441503.3200002</c:v>
                </c:pt>
                <c:pt idx="5">
                  <c:v>400400000</c:v>
                </c:pt>
                <c:pt idx="6">
                  <c:v>15502846666.849998</c:v>
                </c:pt>
                <c:pt idx="7">
                  <c:v>12786303440.059999</c:v>
                </c:pt>
                <c:pt idx="8">
                  <c:v>435999996.39999998</c:v>
                </c:pt>
                <c:pt idx="9">
                  <c:v>0</c:v>
                </c:pt>
                <c:pt idx="10">
                  <c:v>0</c:v>
                </c:pt>
                <c:pt idx="11">
                  <c:v>405680536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6160"/>
        <c:axId val="141667712"/>
      </c:lineChart>
      <c:catAx>
        <c:axId val="140636160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141667712"/>
        <c:crosses val="autoZero"/>
        <c:auto val="1"/>
        <c:lblAlgn val="ctr"/>
        <c:lblOffset val="100"/>
        <c:noMultiLvlLbl val="0"/>
      </c:catAx>
      <c:valAx>
        <c:axId val="141667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high"/>
        <c:crossAx val="140636160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Tipo</a:t>
            </a:r>
            <a:r>
              <a:rPr lang="en-US" sz="1400" baseline="0">
                <a:solidFill>
                  <a:schemeClr val="tx2"/>
                </a:solidFill>
              </a:rPr>
              <a:t> de Ativo</a:t>
            </a:r>
          </a:p>
        </c:rich>
      </c:tx>
      <c:layout>
        <c:manualLayout>
          <c:xMode val="edge"/>
          <c:yMode val="edge"/>
          <c:x val="2.4509758062420416E-2"/>
          <c:y val="1.9047609525004613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(Ocultar)'!$B$20</c:f>
              <c:strCache>
                <c:ptCount val="1"/>
                <c:pt idx="0">
                  <c:v>Tipo de Ativo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(Ocultar)'!$B$21:$B$25</c:f>
              <c:strCache>
                <c:ptCount val="4"/>
                <c:pt idx="0">
                  <c:v>AÇÕES ORDINÁRIAS</c:v>
                </c:pt>
                <c:pt idx="1">
                  <c:v>UNIT</c:v>
                </c:pt>
                <c:pt idx="2">
                  <c:v>BDR</c:v>
                </c:pt>
                <c:pt idx="3">
                  <c:v>AÇÔES PREFERENCIAIS</c:v>
                </c:pt>
              </c:strCache>
            </c:strRef>
          </c:cat>
          <c:val>
            <c:numRef>
              <c:f>'Relatórios (Ocultar)'!$C$21:$C$25</c:f>
              <c:numCache>
                <c:formatCode>General</c:formatCode>
                <c:ptCount val="5"/>
                <c:pt idx="0">
                  <c:v>63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639232"/>
        <c:axId val="140699904"/>
      </c:barChart>
      <c:valAx>
        <c:axId val="14069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639232"/>
        <c:crosses val="autoZero"/>
        <c:crossBetween val="between"/>
      </c:valAx>
      <c:catAx>
        <c:axId val="140639232"/>
        <c:scaling>
          <c:orientation val="minMax"/>
        </c:scaling>
        <c:delete val="0"/>
        <c:axPos val="l"/>
        <c:majorTickMark val="out"/>
        <c:minorTickMark val="none"/>
        <c:tickLblPos val="nextTo"/>
        <c:crossAx val="1406999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Follow-On 2021</a:t>
            </a:r>
          </a:p>
          <a:p>
            <a:pPr>
              <a:defRPr sz="1200"/>
            </a:pPr>
            <a:r>
              <a:rPr lang="en-US" sz="1200"/>
              <a:t>Quantidade</a:t>
            </a:r>
          </a:p>
          <a:p>
            <a:pPr>
              <a:defRPr sz="1200"/>
            </a:pPr>
            <a:r>
              <a:rPr lang="en-US" sz="1200"/>
              <a:t>(Nº de Ofertas)</a:t>
            </a:r>
          </a:p>
        </c:rich>
      </c:tx>
      <c:layout>
        <c:manualLayout>
          <c:xMode val="edge"/>
          <c:yMode val="edge"/>
          <c:x val="1.486158569801419E-2"/>
          <c:y val="4.4025135430527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79666220967663"/>
          <c:y val="7.4016797900262596E-2"/>
          <c:w val="0.66141944807506359"/>
          <c:h val="0.61233843460139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'IPO por mês'!$X$6</c:f>
              <c:strCache>
                <c:ptCount val="1"/>
                <c:pt idx="0">
                  <c:v>Nº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'IPO por mês'!$W$7:$W$18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mês'!$X$7:$X$18</c:f>
              <c:numCache>
                <c:formatCode>General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36672"/>
        <c:axId val="141669440"/>
      </c:barChart>
      <c:catAx>
        <c:axId val="1406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69440"/>
        <c:crosses val="autoZero"/>
        <c:auto val="1"/>
        <c:lblAlgn val="ctr"/>
        <c:lblOffset val="100"/>
        <c:noMultiLvlLbl val="0"/>
      </c:catAx>
      <c:valAx>
        <c:axId val="14166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14063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1"/>
          <a:lstStyle/>
          <a:p>
            <a:pPr>
              <a:defRPr sz="1200"/>
            </a:pPr>
            <a:r>
              <a:rPr lang="en-US" sz="1200"/>
              <a:t>Follow-On 2021 </a:t>
            </a:r>
          </a:p>
          <a:p>
            <a:pPr>
              <a:defRPr sz="1200"/>
            </a:pPr>
            <a:r>
              <a:rPr lang="en-US" sz="1200" baseline="0"/>
              <a:t> Volume</a:t>
            </a:r>
          </a:p>
          <a:p>
            <a:pPr>
              <a:defRPr sz="1200"/>
            </a:pPr>
            <a:r>
              <a:rPr lang="en-US" sz="1200" baseline="0"/>
              <a:t>(Bilhões de R$)</a:t>
            </a:r>
            <a:endParaRPr lang="en-US" sz="1200"/>
          </a:p>
        </c:rich>
      </c:tx>
      <c:layout>
        <c:manualLayout>
          <c:xMode val="edge"/>
          <c:yMode val="edge"/>
          <c:x val="1.4962211664990519E-2"/>
          <c:y val="3.3214709371292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17204235684788"/>
          <c:y val="0.10001214261028762"/>
          <c:w val="0.65968332398686202"/>
          <c:h val="0.85679677940613352"/>
        </c:manualLayout>
      </c:layout>
      <c:lineChart>
        <c:grouping val="standard"/>
        <c:varyColors val="0"/>
        <c:ser>
          <c:idx val="0"/>
          <c:order val="0"/>
          <c:tx>
            <c:strRef>
              <c:f>'IPO por mês'!$Y$6</c:f>
              <c:strCache>
                <c:ptCount val="1"/>
                <c:pt idx="0">
                  <c:v>Volume (R$)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'IPO por mês'!$W$7:$W$18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'IPO por mês'!$Y$7:$Y$18</c:f>
              <c:numCache>
                <c:formatCode>_(* #,##0.00_);_(* \(#,##0.00\);_(* "-"??_);_(@_)</c:formatCode>
                <c:ptCount val="12"/>
                <c:pt idx="0">
                  <c:v>2744850560</c:v>
                </c:pt>
                <c:pt idx="1">
                  <c:v>8828197752.5599995</c:v>
                </c:pt>
                <c:pt idx="2">
                  <c:v>0</c:v>
                </c:pt>
                <c:pt idx="3">
                  <c:v>9115841325</c:v>
                </c:pt>
                <c:pt idx="4">
                  <c:v>8867060000</c:v>
                </c:pt>
                <c:pt idx="5">
                  <c:v>10447727290.24</c:v>
                </c:pt>
                <c:pt idx="6">
                  <c:v>17220953368</c:v>
                </c:pt>
                <c:pt idx="7">
                  <c:v>0</c:v>
                </c:pt>
                <c:pt idx="8">
                  <c:v>4057747347.5</c:v>
                </c:pt>
                <c:pt idx="9">
                  <c:v>0</c:v>
                </c:pt>
                <c:pt idx="10">
                  <c:v>3188000000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7184"/>
        <c:axId val="141671168"/>
      </c:lineChart>
      <c:catAx>
        <c:axId val="140637184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141671168"/>
        <c:crosses val="autoZero"/>
        <c:auto val="1"/>
        <c:lblAlgn val="ctr"/>
        <c:lblOffset val="100"/>
        <c:noMultiLvlLbl val="0"/>
      </c:catAx>
      <c:valAx>
        <c:axId val="1416711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high"/>
        <c:crossAx val="140637184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Coordenador Líder</a:t>
            </a:r>
          </a:p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(Nº</a:t>
            </a:r>
            <a:r>
              <a:rPr lang="en-US" sz="1200" baseline="0">
                <a:solidFill>
                  <a:sysClr val="windowText" lastClr="000000"/>
                </a:solidFill>
              </a:rPr>
              <a:t> de Ofertas</a:t>
            </a:r>
            <a:r>
              <a:rPr lang="en-US" sz="1200">
                <a:solidFill>
                  <a:sysClr val="windowText" lastClr="000000"/>
                </a:solidFill>
              </a:rPr>
              <a:t>)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3.1835828213780989E-2"/>
          <c:y val="3.1840796019900496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>
        <c:manualLayout>
          <c:layoutTarget val="inner"/>
          <c:xMode val="edge"/>
          <c:yMode val="edge"/>
          <c:x val="0.32967032967032966"/>
          <c:y val="0.23935221530144551"/>
          <c:w val="0.63360993337371374"/>
          <c:h val="0.68845974850158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(Ocultar)'!$B$27</c:f>
              <c:strCache>
                <c:ptCount val="1"/>
                <c:pt idx="0">
                  <c:v>Líder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(Ocultar)'!$B$28:$B$32</c:f>
              <c:strCache>
                <c:ptCount val="5"/>
                <c:pt idx="0">
                  <c:v>BANCO BTG PACTUAL S.A.</c:v>
                </c:pt>
                <c:pt idx="1">
                  <c:v>BANCO ITAU BBA S.A.</c:v>
                </c:pt>
                <c:pt idx="2">
                  <c:v>BANCO MORGAN STANLEY S.A.</c:v>
                </c:pt>
                <c:pt idx="3">
                  <c:v>XP INVESTIMENTOS CCTVM S.A.</c:v>
                </c:pt>
                <c:pt idx="4">
                  <c:v>Outros</c:v>
                </c:pt>
              </c:strCache>
            </c:strRef>
          </c:cat>
          <c:val>
            <c:numRef>
              <c:f>'Relatórios (Ocultar)'!$C$28:$C$32</c:f>
              <c:numCache>
                <c:formatCode>General</c:formatCode>
                <c:ptCount val="5"/>
                <c:pt idx="0">
                  <c:v>28</c:v>
                </c:pt>
                <c:pt idx="1">
                  <c:v>21</c:v>
                </c:pt>
                <c:pt idx="2">
                  <c:v>6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639744"/>
        <c:axId val="140702208"/>
      </c:barChart>
      <c:valAx>
        <c:axId val="1407022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0639744"/>
        <c:crosses val="autoZero"/>
        <c:crossBetween val="between"/>
      </c:valAx>
      <c:catAx>
        <c:axId val="140639744"/>
        <c:scaling>
          <c:orientation val="maxMin"/>
        </c:scaling>
        <c:delete val="0"/>
        <c:axPos val="l"/>
        <c:majorTickMark val="out"/>
        <c:minorTickMark val="none"/>
        <c:tickLblPos val="nextTo"/>
        <c:crossAx val="1407022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6">
                    <a:lumMod val="50000"/>
                  </a:schemeClr>
                </a:solidFill>
              </a:rPr>
              <a:t>Instrução </a:t>
            </a:r>
          </a:p>
          <a:p>
            <a:pPr>
              <a:defRPr sz="14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6">
                    <a:lumMod val="50000"/>
                  </a:schemeClr>
                </a:solidFill>
              </a:rPr>
              <a:t>CVM</a:t>
            </a:r>
          </a:p>
        </c:rich>
      </c:tx>
      <c:layout>
        <c:manualLayout>
          <c:xMode val="edge"/>
          <c:yMode val="edge"/>
          <c:x val="2.4509803921568631E-2"/>
          <c:y val="0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'Relatórios (Ocultar)'!$B$9</c:f>
              <c:strCache>
                <c:ptCount val="1"/>
                <c:pt idx="0">
                  <c:v>Instrução CVM</c:v>
                </c:pt>
              </c:strCache>
            </c:strRef>
          </c:tx>
          <c:dPt>
            <c:idx val="1"/>
            <c:bubble3D val="0"/>
            <c:explosion val="9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'Relatórios (Ocultar)'!$B$10:$B$11</c:f>
              <c:numCache>
                <c:formatCode>General</c:formatCode>
                <c:ptCount val="2"/>
                <c:pt idx="0">
                  <c:v>400</c:v>
                </c:pt>
                <c:pt idx="1">
                  <c:v>476</c:v>
                </c:pt>
              </c:numCache>
            </c:numRef>
          </c:cat>
          <c:val>
            <c:numRef>
              <c:f>'Relatórios (Ocultar)'!$G$10:$G$11</c:f>
              <c:numCache>
                <c:formatCode>General</c:formatCode>
                <c:ptCount val="2"/>
                <c:pt idx="0">
                  <c:v>1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8905203026092332"/>
          <c:y val="0.83715757752503162"/>
          <c:w val="0.31094797560951293"/>
          <c:h val="0.12177039594347892"/>
        </c:manualLayout>
      </c:layout>
      <c:overlay val="1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>
          <a:lumMod val="75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6">
                    <a:lumMod val="50000"/>
                  </a:schemeClr>
                </a:solidFill>
              </a:rPr>
              <a:t>Tipo</a:t>
            </a:r>
            <a:r>
              <a:rPr lang="en-US" sz="1400" baseline="0">
                <a:solidFill>
                  <a:schemeClr val="accent6">
                    <a:lumMod val="50000"/>
                  </a:schemeClr>
                </a:solidFill>
              </a:rPr>
              <a:t> de Ativo</a:t>
            </a:r>
          </a:p>
        </c:rich>
      </c:tx>
      <c:layout>
        <c:manualLayout>
          <c:xMode val="edge"/>
          <c:yMode val="edge"/>
          <c:x val="2.4509758062420416E-2"/>
          <c:y val="1.9047609525004613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>
        <c:manualLayout>
          <c:layoutTarget val="inner"/>
          <c:xMode val="edge"/>
          <c:yMode val="edge"/>
          <c:x val="0.27676517494977232"/>
          <c:y val="0.17361111111111119"/>
          <c:w val="0.69497535742056848"/>
          <c:h val="0.750000000000000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(Ocultar)'!$B$20</c:f>
              <c:strCache>
                <c:ptCount val="1"/>
                <c:pt idx="0">
                  <c:v>Tipo de Ativo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(Ocultar)'!$B$21:$B$22</c:f>
              <c:strCache>
                <c:ptCount val="2"/>
                <c:pt idx="0">
                  <c:v>AÇÕES ORDINÁRIAS</c:v>
                </c:pt>
                <c:pt idx="1">
                  <c:v>UNIT</c:v>
                </c:pt>
              </c:strCache>
            </c:strRef>
          </c:cat>
          <c:val>
            <c:numRef>
              <c:f>'Relatórios (Ocultar)'!$E$21:$E$22</c:f>
              <c:numCache>
                <c:formatCode>General</c:formatCode>
                <c:ptCount val="2"/>
                <c:pt idx="0">
                  <c:v>22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31200"/>
        <c:axId val="142164544"/>
      </c:barChart>
      <c:valAx>
        <c:axId val="14216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131200"/>
        <c:crosses val="autoZero"/>
        <c:crossBetween val="between"/>
      </c:valAx>
      <c:catAx>
        <c:axId val="142131200"/>
        <c:scaling>
          <c:orientation val="minMax"/>
        </c:scaling>
        <c:delete val="0"/>
        <c:axPos val="l"/>
        <c:majorTickMark val="out"/>
        <c:minorTickMark val="none"/>
        <c:tickLblPos val="nextTo"/>
        <c:crossAx val="1421645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>
          <a:lumMod val="75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accent6">
                    <a:lumMod val="50000"/>
                  </a:schemeClr>
                </a:solidFill>
              </a:rPr>
              <a:t>Coordenador Líder</a:t>
            </a:r>
          </a:p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(Nº</a:t>
            </a:r>
            <a:r>
              <a:rPr lang="en-US" sz="1200" baseline="0">
                <a:solidFill>
                  <a:sysClr val="windowText" lastClr="000000"/>
                </a:solidFill>
              </a:rPr>
              <a:t> de Ofertas</a:t>
            </a:r>
            <a:r>
              <a:rPr lang="en-US" sz="1200">
                <a:solidFill>
                  <a:sysClr val="windowText" lastClr="000000"/>
                </a:solidFill>
              </a:rPr>
              <a:t>)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3.1835828213781003E-2"/>
          <c:y val="3.1840796019900496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>
        <c:manualLayout>
          <c:layoutTarget val="inner"/>
          <c:xMode val="edge"/>
          <c:yMode val="edge"/>
          <c:x val="0.35897435897435898"/>
          <c:y val="0.23935221530144551"/>
          <c:w val="0.60430590406968354"/>
          <c:h val="0.68845974850158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(Ocultar)'!$B$27</c:f>
              <c:strCache>
                <c:ptCount val="1"/>
                <c:pt idx="0">
                  <c:v>Líder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(Ocultar)'!$B$28:$B$32</c:f>
              <c:strCache>
                <c:ptCount val="5"/>
                <c:pt idx="0">
                  <c:v>BANCO BTG PACTUAL S.A.</c:v>
                </c:pt>
                <c:pt idx="1">
                  <c:v>BANCO ITAU BBA S.A.</c:v>
                </c:pt>
                <c:pt idx="2">
                  <c:v>BANCO MORGAN STANLEY S.A.</c:v>
                </c:pt>
                <c:pt idx="3">
                  <c:v>XP INVESTIMENTOS CCTVM S.A.</c:v>
                </c:pt>
                <c:pt idx="4">
                  <c:v>Outros</c:v>
                </c:pt>
              </c:strCache>
            </c:strRef>
          </c:cat>
          <c:val>
            <c:numRef>
              <c:f>'Relatórios (Ocultar)'!$G$28:$G$32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32736"/>
        <c:axId val="142168000"/>
      </c:barChart>
      <c:valAx>
        <c:axId val="1421680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2132736"/>
        <c:crosses val="autoZero"/>
        <c:crossBetween val="between"/>
      </c:valAx>
      <c:catAx>
        <c:axId val="142132736"/>
        <c:scaling>
          <c:orientation val="maxMin"/>
        </c:scaling>
        <c:delete val="0"/>
        <c:axPos val="l"/>
        <c:majorTickMark val="out"/>
        <c:minorTickMark val="none"/>
        <c:tickLblPos val="nextTo"/>
        <c:crossAx val="142168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>
          <a:lumMod val="75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3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3">
                    <a:lumMod val="50000"/>
                  </a:schemeClr>
                </a:solidFill>
              </a:rPr>
              <a:t>Instrução </a:t>
            </a:r>
          </a:p>
          <a:p>
            <a:pPr>
              <a:defRPr sz="1400">
                <a:solidFill>
                  <a:schemeClr val="accent3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3">
                    <a:lumMod val="50000"/>
                  </a:schemeClr>
                </a:solidFill>
              </a:rPr>
              <a:t>CVM</a:t>
            </a:r>
          </a:p>
        </c:rich>
      </c:tx>
      <c:layout>
        <c:manualLayout>
          <c:xMode val="edge"/>
          <c:yMode val="edge"/>
          <c:x val="2.4509803921568631E-2"/>
          <c:y val="0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'Relatórios (Ocultar)'!$B$9</c:f>
              <c:strCache>
                <c:ptCount val="1"/>
                <c:pt idx="0">
                  <c:v>Instrução CVM</c:v>
                </c:pt>
              </c:strCache>
            </c:strRef>
          </c:tx>
          <c:dPt>
            <c:idx val="1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'Relatórios (Ocultar)'!$B$10:$B$11</c:f>
              <c:numCache>
                <c:formatCode>General</c:formatCode>
                <c:ptCount val="2"/>
                <c:pt idx="0">
                  <c:v>400</c:v>
                </c:pt>
                <c:pt idx="1">
                  <c:v>476</c:v>
                </c:pt>
              </c:numCache>
            </c:numRef>
          </c:cat>
          <c:val>
            <c:numRef>
              <c:f>'Relatórios (Ocultar)'!$E$10:$E$11</c:f>
              <c:numCache>
                <c:formatCode>General</c:formatCode>
                <c:ptCount val="2"/>
                <c:pt idx="0">
                  <c:v>34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8905203026092332"/>
          <c:y val="0.83715757752503162"/>
          <c:w val="0.31094797560951293"/>
          <c:h val="0.12177039594347892"/>
        </c:manualLayout>
      </c:layout>
      <c:overlay val="1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00B05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3">
                    <a:lumMod val="50000"/>
                  </a:schemeClr>
                </a:solidFill>
              </a:defRPr>
            </a:pPr>
            <a:r>
              <a:rPr lang="en-US" sz="1400">
                <a:solidFill>
                  <a:schemeClr val="accent3">
                    <a:lumMod val="50000"/>
                  </a:schemeClr>
                </a:solidFill>
              </a:rPr>
              <a:t>Tipo</a:t>
            </a:r>
            <a:r>
              <a:rPr lang="en-US" sz="1400" baseline="0">
                <a:solidFill>
                  <a:schemeClr val="accent3">
                    <a:lumMod val="50000"/>
                  </a:schemeClr>
                </a:solidFill>
              </a:rPr>
              <a:t> de Ativo</a:t>
            </a:r>
          </a:p>
        </c:rich>
      </c:tx>
      <c:layout>
        <c:manualLayout>
          <c:xMode val="edge"/>
          <c:yMode val="edge"/>
          <c:x val="2.4509758062420416E-2"/>
          <c:y val="1.9047609525004613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>
        <c:manualLayout>
          <c:layoutTarget val="inner"/>
          <c:xMode val="edge"/>
          <c:yMode val="edge"/>
          <c:x val="0.27676517494977232"/>
          <c:y val="0.17361111111111119"/>
          <c:w val="0.69497535742056848"/>
          <c:h val="0.750000000000000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(Ocultar)'!$B$20</c:f>
              <c:strCache>
                <c:ptCount val="1"/>
                <c:pt idx="0">
                  <c:v>Tipo de Ativo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(Ocultar)'!$B$21:$B$25</c:f>
              <c:strCache>
                <c:ptCount val="4"/>
                <c:pt idx="0">
                  <c:v>AÇÕES ORDINÁRIAS</c:v>
                </c:pt>
                <c:pt idx="1">
                  <c:v>UNIT</c:v>
                </c:pt>
                <c:pt idx="2">
                  <c:v>BDR</c:v>
                </c:pt>
                <c:pt idx="3">
                  <c:v>AÇÔES PREFERENCIAIS</c:v>
                </c:pt>
              </c:strCache>
            </c:strRef>
          </c:cat>
          <c:val>
            <c:numRef>
              <c:f>'Relatórios (Ocultar)'!$D$21:$D$24</c:f>
              <c:numCache>
                <c:formatCode>General</c:formatCode>
                <c:ptCount val="4"/>
                <c:pt idx="0">
                  <c:v>41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891584"/>
        <c:axId val="140410880"/>
      </c:barChart>
      <c:valAx>
        <c:axId val="14041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891584"/>
        <c:crosses val="autoZero"/>
        <c:crossBetween val="between"/>
      </c:valAx>
      <c:catAx>
        <c:axId val="141891584"/>
        <c:scaling>
          <c:orientation val="minMax"/>
        </c:scaling>
        <c:delete val="0"/>
        <c:axPos val="l"/>
        <c:majorTickMark val="out"/>
        <c:minorTickMark val="none"/>
        <c:tickLblPos val="nextTo"/>
        <c:crossAx val="1404108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00B05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accent3">
                    <a:lumMod val="50000"/>
                  </a:schemeClr>
                </a:solidFill>
              </a:rPr>
              <a:t>Coordenador Líder</a:t>
            </a:r>
          </a:p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(Nº</a:t>
            </a:r>
            <a:r>
              <a:rPr lang="en-US" sz="1200" baseline="0">
                <a:solidFill>
                  <a:sysClr val="windowText" lastClr="000000"/>
                </a:solidFill>
              </a:rPr>
              <a:t> de Ofertas</a:t>
            </a:r>
            <a:r>
              <a:rPr lang="en-US" sz="1200">
                <a:solidFill>
                  <a:sysClr val="windowText" lastClr="000000"/>
                </a:solidFill>
              </a:rPr>
              <a:t>)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3.1835828213781003E-2"/>
          <c:y val="3.1840796019900496E-2"/>
        </c:manualLayout>
      </c:layout>
      <c:overlay val="1"/>
      <c:spPr>
        <a:scene3d>
          <a:camera prst="orthographicFront"/>
          <a:lightRig rig="threePt" dir="t"/>
        </a:scene3d>
        <a:sp3d prstMaterial="metal">
          <a:bevelT w="38100" h="57150" prst="angle"/>
        </a:sp3d>
      </c:spPr>
    </c:title>
    <c:autoTitleDeleted val="0"/>
    <c:plotArea>
      <c:layout>
        <c:manualLayout>
          <c:layoutTarget val="inner"/>
          <c:xMode val="edge"/>
          <c:yMode val="edge"/>
          <c:x val="0.32967032967032978"/>
          <c:y val="0.23935221530144551"/>
          <c:w val="0.6336099333737143"/>
          <c:h val="0.68845974850158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'Relatórios (Ocultar)'!$B$27</c:f>
              <c:strCache>
                <c:ptCount val="1"/>
                <c:pt idx="0">
                  <c:v>Líder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'Relatórios (Ocultar)'!$B$28:$B$32</c:f>
              <c:strCache>
                <c:ptCount val="5"/>
                <c:pt idx="0">
                  <c:v>BANCO BTG PACTUAL S.A.</c:v>
                </c:pt>
                <c:pt idx="1">
                  <c:v>BANCO ITAU BBA S.A.</c:v>
                </c:pt>
                <c:pt idx="2">
                  <c:v>BANCO MORGAN STANLEY S.A.</c:v>
                </c:pt>
                <c:pt idx="3">
                  <c:v>XP INVESTIMENTOS CCTVM S.A.</c:v>
                </c:pt>
                <c:pt idx="4">
                  <c:v>Outros</c:v>
                </c:pt>
              </c:strCache>
            </c:strRef>
          </c:cat>
          <c:val>
            <c:numRef>
              <c:f>'Relatórios (Ocultar)'!$E$28:$E$32</c:f>
              <c:numCache>
                <c:formatCode>General</c:formatCode>
                <c:ptCount val="5"/>
                <c:pt idx="0">
                  <c:v>16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702080"/>
        <c:axId val="140413760"/>
      </c:barChart>
      <c:valAx>
        <c:axId val="1404137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2702080"/>
        <c:crosses val="autoZero"/>
        <c:crossBetween val="between"/>
      </c:valAx>
      <c:catAx>
        <c:axId val="142702080"/>
        <c:scaling>
          <c:orientation val="maxMin"/>
        </c:scaling>
        <c:delete val="0"/>
        <c:axPos val="l"/>
        <c:majorTickMark val="out"/>
        <c:minorTickMark val="none"/>
        <c:tickLblPos val="nextTo"/>
        <c:crossAx val="1404137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00B050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quantum_2/mycompany/" TargetMode="Externa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image" Target="../media/image1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image" Target="../media/image1.png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</xdr:row>
      <xdr:rowOff>200024</xdr:rowOff>
    </xdr:from>
    <xdr:to>
      <xdr:col>4</xdr:col>
      <xdr:colOff>514350</xdr:colOff>
      <xdr:row>12</xdr:row>
      <xdr:rowOff>9525</xdr:rowOff>
    </xdr:to>
    <xdr:sp macro="" textlink="">
      <xdr:nvSpPr>
        <xdr:cNvPr id="2" name="Retângulo de cantos arredondados 1"/>
        <xdr:cNvSpPr/>
      </xdr:nvSpPr>
      <xdr:spPr>
        <a:xfrm>
          <a:off x="10096501" y="581024"/>
          <a:ext cx="2466974" cy="1943101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tx2"/>
              </a:solidFill>
            </a:rPr>
            <a:t>Número</a:t>
          </a:r>
          <a:r>
            <a:rPr lang="pt-BR" sz="1600" b="1" baseline="0">
              <a:solidFill>
                <a:schemeClr val="tx2"/>
              </a:solidFill>
            </a:rPr>
            <a:t> de Ofertas</a:t>
          </a:r>
        </a:p>
        <a:p>
          <a:pPr algn="ctr"/>
          <a:r>
            <a:rPr lang="pt-BR" sz="1600" b="1" baseline="0"/>
            <a:t>72</a:t>
          </a:r>
        </a:p>
      </xdr:txBody>
    </xdr:sp>
    <xdr:clientData/>
  </xdr:twoCellAnchor>
  <xdr:twoCellAnchor>
    <xdr:from>
      <xdr:col>5</xdr:col>
      <xdr:colOff>47625</xdr:colOff>
      <xdr:row>2</xdr:row>
      <xdr:rowOff>209550</xdr:rowOff>
    </xdr:from>
    <xdr:to>
      <xdr:col>8</xdr:col>
      <xdr:colOff>533400</xdr:colOff>
      <xdr:row>12</xdr:row>
      <xdr:rowOff>19050</xdr:rowOff>
    </xdr:to>
    <xdr:sp macro="" textlink="">
      <xdr:nvSpPr>
        <xdr:cNvPr id="3" name="Retângulo de cantos arredondados 2"/>
        <xdr:cNvSpPr/>
      </xdr:nvSpPr>
      <xdr:spPr>
        <a:xfrm>
          <a:off x="12706350" y="590550"/>
          <a:ext cx="2314575" cy="194310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tx2"/>
              </a:solidFill>
            </a:rPr>
            <a:t>Volume Total</a:t>
          </a:r>
        </a:p>
        <a:p>
          <a:pPr algn="ctr"/>
          <a:r>
            <a:rPr lang="pt-BR" sz="1600" b="1" baseline="0"/>
            <a:t>R$ 131.021.757.108,75</a:t>
          </a:r>
        </a:p>
      </xdr:txBody>
    </xdr:sp>
    <xdr:clientData/>
  </xdr:twoCellAnchor>
  <xdr:twoCellAnchor>
    <xdr:from>
      <xdr:col>0</xdr:col>
      <xdr:colOff>485774</xdr:colOff>
      <xdr:row>12</xdr:row>
      <xdr:rowOff>152399</xdr:rowOff>
    </xdr:from>
    <xdr:to>
      <xdr:col>4</xdr:col>
      <xdr:colOff>552449</xdr:colOff>
      <xdr:row>22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12</xdr:row>
      <xdr:rowOff>152400</xdr:rowOff>
    </xdr:from>
    <xdr:to>
      <xdr:col>13</xdr:col>
      <xdr:colOff>190500</xdr:colOff>
      <xdr:row>21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22</xdr:row>
      <xdr:rowOff>152400</xdr:rowOff>
    </xdr:from>
    <xdr:to>
      <xdr:col>6</xdr:col>
      <xdr:colOff>285750</xdr:colOff>
      <xdr:row>39</xdr:row>
      <xdr:rowOff>104775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428625</xdr:colOff>
      <xdr:row>22</xdr:row>
      <xdr:rowOff>123825</xdr:rowOff>
    </xdr:from>
    <xdr:to>
      <xdr:col>13</xdr:col>
      <xdr:colOff>219075</xdr:colOff>
      <xdr:row>39</xdr:row>
      <xdr:rowOff>57150</xdr:rowOff>
    </xdr:to>
    <xdr:sp macro="" textlink="">
      <xdr:nvSpPr>
        <xdr:cNvPr id="8" name="Retângulo de cantos arredondados 7"/>
        <xdr:cNvSpPr/>
      </xdr:nvSpPr>
      <xdr:spPr>
        <a:xfrm>
          <a:off x="13696950" y="4657725"/>
          <a:ext cx="4057650" cy="3171825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400" b="1" baseline="0">
              <a:solidFill>
                <a:schemeClr val="tx2"/>
              </a:solidFill>
            </a:rPr>
            <a:t>Volume das ofertas por coordenador líder</a:t>
          </a:r>
        </a:p>
        <a:p>
          <a:pPr algn="ctr"/>
          <a:r>
            <a:rPr lang="pt-BR" sz="1400" b="1" baseline="0">
              <a:solidFill>
                <a:sysClr val="windowText" lastClr="000000"/>
              </a:solidFill>
            </a:rPr>
            <a:t>2021</a:t>
          </a:r>
        </a:p>
        <a:p>
          <a:pPr marL="0" indent="0" algn="ctr"/>
          <a:endParaRPr lang="pt-BR" sz="1600" b="1" baseline="0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pt-BR" sz="16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BANCO BTG PACTUAL S.A.</a:t>
          </a:r>
        </a:p>
        <a:p>
          <a:pPr marL="0" indent="0" algn="ctr"/>
          <a:r>
            <a:rPr lang="pt-BR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R$ 38.907.064.786,14</a:t>
          </a:r>
        </a:p>
        <a:p>
          <a:pPr algn="ctr"/>
          <a:endParaRPr lang="pt-BR" sz="1600" b="1" baseline="0">
            <a:solidFill>
              <a:schemeClr val="tx2"/>
            </a:solidFill>
          </a:endParaRPr>
        </a:p>
        <a:p>
          <a:pPr algn="ctr"/>
          <a:r>
            <a:rPr lang="pt-BR" sz="1600" b="1" baseline="0">
              <a:solidFill>
                <a:schemeClr val="tx2"/>
              </a:solidFill>
            </a:rPr>
            <a:t>BANCO ITAU BBA S.A. </a:t>
          </a:r>
        </a:p>
        <a:p>
          <a:pPr algn="ctr"/>
          <a:r>
            <a:rPr lang="pt-BR" sz="1600" b="1" baseline="0">
              <a:solidFill>
                <a:sysClr val="windowText" lastClr="000000"/>
              </a:solidFill>
            </a:rPr>
            <a:t>R$ 37.429.363.363,86</a:t>
          </a:r>
        </a:p>
        <a:p>
          <a:pPr algn="ctr"/>
          <a:endParaRPr lang="pt-BR" sz="1600" b="1" baseline="0">
            <a:solidFill>
              <a:sysClr val="windowText" lastClr="000000"/>
            </a:solidFill>
          </a:endParaRPr>
        </a:p>
        <a:p>
          <a:pPr algn="ctr"/>
          <a:r>
            <a:rPr lang="pt-BR" sz="1600" b="1" baseline="0">
              <a:solidFill>
                <a:schemeClr val="accent1">
                  <a:lumMod val="50000"/>
                </a:schemeClr>
              </a:solidFill>
            </a:rPr>
            <a:t>BANCO MORGAN STANLEY S.A.</a:t>
          </a:r>
        </a:p>
        <a:p>
          <a:pPr algn="ctr"/>
          <a:r>
            <a:rPr lang="pt-BR" sz="1600" b="1" baseline="0">
              <a:solidFill>
                <a:sysClr val="windowText" lastClr="000000"/>
              </a:solidFill>
            </a:rPr>
            <a:t>R$ 24.274.596.233,60</a:t>
          </a:r>
        </a:p>
        <a:p>
          <a:pPr algn="ctr"/>
          <a:endParaRPr lang="pt-BR" sz="1600" b="1" baseline="0">
            <a:solidFill>
              <a:schemeClr val="accent1">
                <a:lumMod val="75000"/>
              </a:schemeClr>
            </a:solidFill>
          </a:endParaRPr>
        </a:p>
        <a:p>
          <a:pPr algn="ctr"/>
          <a:endParaRPr lang="pt-BR" sz="1600" b="1" baseline="0">
            <a:solidFill>
              <a:schemeClr val="accent1">
                <a:lumMod val="75000"/>
              </a:schemeClr>
            </a:solidFill>
          </a:endParaRPr>
        </a:p>
        <a:p>
          <a:pPr algn="l"/>
          <a:endParaRPr lang="pt-BR" sz="1600" b="1" baseline="0"/>
        </a:p>
      </xdr:txBody>
    </xdr:sp>
    <xdr:clientData/>
  </xdr:twoCellAnchor>
  <xdr:twoCellAnchor>
    <xdr:from>
      <xdr:col>9</xdr:col>
      <xdr:colOff>161925</xdr:colOff>
      <xdr:row>3</xdr:row>
      <xdr:rowOff>9525</xdr:rowOff>
    </xdr:from>
    <xdr:to>
      <xdr:col>13</xdr:col>
      <xdr:colOff>171449</xdr:colOff>
      <xdr:row>12</xdr:row>
      <xdr:rowOff>19051</xdr:rowOff>
    </xdr:to>
    <xdr:sp macro="" textlink="">
      <xdr:nvSpPr>
        <xdr:cNvPr id="10" name="Retângulo de cantos arredondados 9"/>
        <xdr:cNvSpPr/>
      </xdr:nvSpPr>
      <xdr:spPr>
        <a:xfrm>
          <a:off x="5648325" y="200025"/>
          <a:ext cx="2466974" cy="1962151"/>
        </a:xfrm>
        <a:prstGeom prst="roundRect">
          <a:avLst/>
        </a:prstGeom>
        <a:solidFill>
          <a:schemeClr val="lt1">
            <a:alpha val="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tx2"/>
              </a:solidFill>
            </a:rPr>
            <a:t>Tipo de Oferta*</a:t>
          </a: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 baseline="0">
            <a:solidFill>
              <a:schemeClr val="tx2"/>
            </a:solidFill>
          </a:endParaRPr>
        </a:p>
        <a:p>
          <a:pPr algn="ctr"/>
          <a:endParaRPr lang="pt-BR" sz="1600" b="1" baseline="0"/>
        </a:p>
      </xdr:txBody>
    </xdr:sp>
    <xdr:clientData/>
  </xdr:twoCellAnchor>
  <xdr:twoCellAnchor editAs="oneCell">
    <xdr:from>
      <xdr:col>0</xdr:col>
      <xdr:colOff>213360</xdr:colOff>
      <xdr:row>0</xdr:row>
      <xdr:rowOff>114300</xdr:rowOff>
    </xdr:from>
    <xdr:to>
      <xdr:col>1</xdr:col>
      <xdr:colOff>602661</xdr:colOff>
      <xdr:row>1</xdr:row>
      <xdr:rowOff>115827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14300"/>
          <a:ext cx="876981" cy="184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</xdr:row>
      <xdr:rowOff>200024</xdr:rowOff>
    </xdr:from>
    <xdr:to>
      <xdr:col>4</xdr:col>
      <xdr:colOff>514350</xdr:colOff>
      <xdr:row>12</xdr:row>
      <xdr:rowOff>9525</xdr:rowOff>
    </xdr:to>
    <xdr:sp macro="" textlink="">
      <xdr:nvSpPr>
        <xdr:cNvPr id="2" name="Retângulo de cantos arredondados 1"/>
        <xdr:cNvSpPr/>
      </xdr:nvSpPr>
      <xdr:spPr>
        <a:xfrm>
          <a:off x="10096501" y="581024"/>
          <a:ext cx="2466974" cy="1943101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6">
                  <a:lumMod val="50000"/>
                </a:schemeClr>
              </a:solidFill>
            </a:rPr>
            <a:t>Número</a:t>
          </a:r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 de Ofertas</a:t>
          </a:r>
        </a:p>
        <a:p>
          <a:pPr algn="ctr"/>
          <a:r>
            <a:rPr lang="pt-BR" sz="1600" b="1" baseline="0"/>
            <a:t>26</a:t>
          </a:r>
        </a:p>
      </xdr:txBody>
    </xdr:sp>
    <xdr:clientData/>
  </xdr:twoCellAnchor>
  <xdr:twoCellAnchor>
    <xdr:from>
      <xdr:col>5</xdr:col>
      <xdr:colOff>47625</xdr:colOff>
      <xdr:row>2</xdr:row>
      <xdr:rowOff>209550</xdr:rowOff>
    </xdr:from>
    <xdr:to>
      <xdr:col>8</xdr:col>
      <xdr:colOff>533400</xdr:colOff>
      <xdr:row>12</xdr:row>
      <xdr:rowOff>19050</xdr:rowOff>
    </xdr:to>
    <xdr:sp macro="" textlink="">
      <xdr:nvSpPr>
        <xdr:cNvPr id="3" name="Retângulo de cantos arredondados 2"/>
        <xdr:cNvSpPr/>
      </xdr:nvSpPr>
      <xdr:spPr>
        <a:xfrm>
          <a:off x="12706350" y="590550"/>
          <a:ext cx="2314575" cy="194310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6">
                  <a:lumMod val="50000"/>
                </a:schemeClr>
              </a:solidFill>
            </a:rPr>
            <a:t>Volume Total</a:t>
          </a:r>
        </a:p>
        <a:p>
          <a:pPr algn="ctr"/>
          <a:r>
            <a:rPr lang="pt-BR" sz="1600" b="1" baseline="0"/>
            <a:t>R$ 64.470.377.643,30</a:t>
          </a:r>
        </a:p>
      </xdr:txBody>
    </xdr:sp>
    <xdr:clientData/>
  </xdr:twoCellAnchor>
  <xdr:twoCellAnchor>
    <xdr:from>
      <xdr:col>0</xdr:col>
      <xdr:colOff>523874</xdr:colOff>
      <xdr:row>12</xdr:row>
      <xdr:rowOff>152399</xdr:rowOff>
    </xdr:from>
    <xdr:to>
      <xdr:col>4</xdr:col>
      <xdr:colOff>590549</xdr:colOff>
      <xdr:row>22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12</xdr:row>
      <xdr:rowOff>152400</xdr:rowOff>
    </xdr:from>
    <xdr:to>
      <xdr:col>13</xdr:col>
      <xdr:colOff>190500</xdr:colOff>
      <xdr:row>21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504824</xdr:colOff>
      <xdr:row>22</xdr:row>
      <xdr:rowOff>180975</xdr:rowOff>
    </xdr:from>
    <xdr:to>
      <xdr:col>13</xdr:col>
      <xdr:colOff>133350</xdr:colOff>
      <xdr:row>39</xdr:row>
      <xdr:rowOff>123825</xdr:rowOff>
    </xdr:to>
    <xdr:sp macro="" textlink="">
      <xdr:nvSpPr>
        <xdr:cNvPr id="8" name="Retângulo de cantos arredondados 7"/>
        <xdr:cNvSpPr/>
      </xdr:nvSpPr>
      <xdr:spPr>
        <a:xfrm>
          <a:off x="4162424" y="3990975"/>
          <a:ext cx="3895726" cy="318135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6">
                  <a:lumMod val="50000"/>
                </a:schemeClr>
              </a:solidFill>
            </a:rPr>
            <a:t>O </a:t>
          </a:r>
          <a:r>
            <a:rPr lang="pt-BR" sz="1600" b="1">
              <a:solidFill>
                <a:sysClr val="windowText" lastClr="000000"/>
              </a:solidFill>
            </a:rPr>
            <a:t>Banco BTG (BPAC11)</a:t>
          </a:r>
          <a:r>
            <a:rPr lang="pt-BR" sz="1600" b="1">
              <a:solidFill>
                <a:schemeClr val="accent6">
                  <a:lumMod val="50000"/>
                </a:schemeClr>
              </a:solidFill>
            </a:rPr>
            <a:t> e </a:t>
          </a:r>
          <a:r>
            <a:rPr lang="pt-BR" sz="1600" b="1" baseline="0">
              <a:solidFill>
                <a:sysClr val="windowText" lastClr="000000"/>
              </a:solidFill>
            </a:rPr>
            <a:t>3R Petroleum (RRRP3)</a:t>
          </a:r>
          <a:r>
            <a:rPr lang="pt-BR" sz="1600" b="1">
              <a:solidFill>
                <a:schemeClr val="accent6">
                  <a:lumMod val="50000"/>
                </a:schemeClr>
              </a:solidFill>
            </a:rPr>
            <a:t> fizera</a:t>
          </a:r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m </a:t>
          </a:r>
          <a:r>
            <a:rPr lang="pt-BR" sz="1600" b="1" baseline="0">
              <a:solidFill>
                <a:sysClr val="windowText" lastClr="000000"/>
              </a:solidFill>
            </a:rPr>
            <a:t>dois Follow-On</a:t>
          </a:r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 por oferta restrita no ano</a:t>
          </a:r>
        </a:p>
        <a:p>
          <a:pPr algn="ctr"/>
          <a:endParaRPr lang="pt-BR" sz="1600" b="1" baseline="0">
            <a:solidFill>
              <a:schemeClr val="accent6">
                <a:lumMod val="50000"/>
              </a:schemeClr>
            </a:solidFill>
          </a:endParaRPr>
        </a:p>
        <a:p>
          <a:pPr algn="ctr"/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A </a:t>
          </a:r>
          <a:r>
            <a:rPr lang="pt-BR" sz="1600" b="1" baseline="0">
              <a:solidFill>
                <a:sysClr val="windowText" lastClr="000000"/>
              </a:solidFill>
            </a:rPr>
            <a:t>Vamos (VAMO3)</a:t>
          </a:r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 fez </a:t>
          </a:r>
          <a:r>
            <a:rPr lang="pt-BR" sz="1600" b="1" baseline="0">
              <a:solidFill>
                <a:sysClr val="windowText" lastClr="000000"/>
              </a:solidFill>
            </a:rPr>
            <a:t>Follow-On</a:t>
          </a:r>
          <a:r>
            <a:rPr lang="pt-BR" sz="1600" b="1" baseline="0">
              <a:solidFill>
                <a:schemeClr val="accent6">
                  <a:lumMod val="50000"/>
                </a:schemeClr>
              </a:solidFill>
            </a:rPr>
            <a:t> em setembro, oito meses após seu </a:t>
          </a:r>
          <a:r>
            <a:rPr lang="pt-BR" sz="1600" b="1" baseline="0">
              <a:solidFill>
                <a:sysClr val="windowText" lastClr="000000"/>
              </a:solidFill>
            </a:rPr>
            <a:t>IPO</a:t>
          </a:r>
        </a:p>
      </xdr:txBody>
    </xdr:sp>
    <xdr:clientData/>
  </xdr:twoCellAnchor>
  <xdr:twoCellAnchor>
    <xdr:from>
      <xdr:col>9</xdr:col>
      <xdr:colOff>123825</xdr:colOff>
      <xdr:row>3</xdr:row>
      <xdr:rowOff>19050</xdr:rowOff>
    </xdr:from>
    <xdr:to>
      <xdr:col>13</xdr:col>
      <xdr:colOff>190500</xdr:colOff>
      <xdr:row>12</xdr:row>
      <xdr:rowOff>28576</xdr:rowOff>
    </xdr:to>
    <xdr:sp macro="" textlink="">
      <xdr:nvSpPr>
        <xdr:cNvPr id="9" name="Retângulo de cantos arredondados 8"/>
        <xdr:cNvSpPr/>
      </xdr:nvSpPr>
      <xdr:spPr>
        <a:xfrm>
          <a:off x="5610225" y="209550"/>
          <a:ext cx="2495550" cy="1962151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6">
                  <a:lumMod val="50000"/>
                </a:schemeClr>
              </a:solidFill>
            </a:rPr>
            <a:t>Tipo de Oferta*</a:t>
          </a: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 baseline="0">
            <a:solidFill>
              <a:schemeClr val="tx2"/>
            </a:solidFill>
          </a:endParaRPr>
        </a:p>
        <a:p>
          <a:pPr algn="ctr"/>
          <a:endParaRPr lang="pt-BR" sz="1600" b="1" baseline="0"/>
        </a:p>
      </xdr:txBody>
    </xdr:sp>
    <xdr:clientData/>
  </xdr:twoCellAnchor>
  <xdr:twoCellAnchor>
    <xdr:from>
      <xdr:col>0</xdr:col>
      <xdr:colOff>571500</xdr:colOff>
      <xdr:row>22</xdr:row>
      <xdr:rowOff>161925</xdr:rowOff>
    </xdr:from>
    <xdr:to>
      <xdr:col>6</xdr:col>
      <xdr:colOff>381000</xdr:colOff>
      <xdr:row>39</xdr:row>
      <xdr:rowOff>114300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91440</xdr:colOff>
      <xdr:row>0</xdr:row>
      <xdr:rowOff>144780</xdr:rowOff>
    </xdr:from>
    <xdr:to>
      <xdr:col>1</xdr:col>
      <xdr:colOff>534081</xdr:colOff>
      <xdr:row>1</xdr:row>
      <xdr:rowOff>146307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44780"/>
          <a:ext cx="876981" cy="184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3</xdr:row>
      <xdr:rowOff>200024</xdr:rowOff>
    </xdr:from>
    <xdr:to>
      <xdr:col>4</xdr:col>
      <xdr:colOff>514350</xdr:colOff>
      <xdr:row>13</xdr:row>
      <xdr:rowOff>9525</xdr:rowOff>
    </xdr:to>
    <xdr:sp macro="" textlink="">
      <xdr:nvSpPr>
        <xdr:cNvPr id="2" name="Retângulo de cantos arredondados 1"/>
        <xdr:cNvSpPr/>
      </xdr:nvSpPr>
      <xdr:spPr>
        <a:xfrm>
          <a:off x="10096501" y="581024"/>
          <a:ext cx="2466974" cy="1943101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3">
                  <a:lumMod val="50000"/>
                </a:schemeClr>
              </a:solidFill>
            </a:rPr>
            <a:t>Número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 de Ofertas</a:t>
          </a:r>
        </a:p>
        <a:p>
          <a:pPr algn="ctr"/>
          <a:r>
            <a:rPr lang="pt-BR" sz="1600" b="1" baseline="0"/>
            <a:t>46</a:t>
          </a:r>
        </a:p>
      </xdr:txBody>
    </xdr:sp>
    <xdr:clientData/>
  </xdr:twoCellAnchor>
  <xdr:twoCellAnchor>
    <xdr:from>
      <xdr:col>5</xdr:col>
      <xdr:colOff>47625</xdr:colOff>
      <xdr:row>3</xdr:row>
      <xdr:rowOff>209550</xdr:rowOff>
    </xdr:from>
    <xdr:to>
      <xdr:col>8</xdr:col>
      <xdr:colOff>533400</xdr:colOff>
      <xdr:row>13</xdr:row>
      <xdr:rowOff>19050</xdr:rowOff>
    </xdr:to>
    <xdr:sp macro="" textlink="">
      <xdr:nvSpPr>
        <xdr:cNvPr id="3" name="Retângulo de cantos arredondados 2"/>
        <xdr:cNvSpPr/>
      </xdr:nvSpPr>
      <xdr:spPr>
        <a:xfrm>
          <a:off x="12706350" y="590550"/>
          <a:ext cx="2314575" cy="194310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3">
                  <a:lumMod val="50000"/>
                </a:schemeClr>
              </a:solidFill>
            </a:rPr>
            <a:t>Volume Total</a:t>
          </a:r>
        </a:p>
        <a:p>
          <a:pPr algn="ctr"/>
          <a:r>
            <a:rPr lang="pt-BR" sz="1600" b="1" baseline="0"/>
            <a:t>R$ 66.551.379.465,45</a:t>
          </a:r>
        </a:p>
      </xdr:txBody>
    </xdr:sp>
    <xdr:clientData/>
  </xdr:twoCellAnchor>
  <xdr:twoCellAnchor>
    <xdr:from>
      <xdr:col>0</xdr:col>
      <xdr:colOff>485774</xdr:colOff>
      <xdr:row>13</xdr:row>
      <xdr:rowOff>152399</xdr:rowOff>
    </xdr:from>
    <xdr:to>
      <xdr:col>4</xdr:col>
      <xdr:colOff>552449</xdr:colOff>
      <xdr:row>23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13</xdr:row>
      <xdr:rowOff>152400</xdr:rowOff>
    </xdr:from>
    <xdr:to>
      <xdr:col>13</xdr:col>
      <xdr:colOff>190500</xdr:colOff>
      <xdr:row>22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466724</xdr:colOff>
      <xdr:row>23</xdr:row>
      <xdr:rowOff>161925</xdr:rowOff>
    </xdr:from>
    <xdr:to>
      <xdr:col>13</xdr:col>
      <xdr:colOff>171449</xdr:colOff>
      <xdr:row>40</xdr:row>
      <xdr:rowOff>85725</xdr:rowOff>
    </xdr:to>
    <xdr:sp macro="" textlink="">
      <xdr:nvSpPr>
        <xdr:cNvPr id="8" name="Retângulo de cantos arredondados 7">
          <a:hlinkClick xmlns:r="http://schemas.openxmlformats.org/officeDocument/2006/relationships" r:id="rId3"/>
        </xdr:cNvPr>
        <xdr:cNvSpPr/>
      </xdr:nvSpPr>
      <xdr:spPr>
        <a:xfrm>
          <a:off x="4124324" y="4210050"/>
          <a:ext cx="3981450" cy="316230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Mais de </a:t>
          </a:r>
          <a:r>
            <a:rPr lang="pt-BR" sz="1600" b="1" baseline="0">
              <a:solidFill>
                <a:sysClr val="windowText" lastClr="000000"/>
              </a:solidFill>
            </a:rPr>
            <a:t>35 publicações 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com análise de IPOs nas redes sociais da </a:t>
          </a:r>
          <a:r>
            <a:rPr lang="pt-BR" sz="1600" b="1" baseline="0">
              <a:solidFill>
                <a:sysClr val="windowText" lastClr="000000"/>
              </a:solidFill>
            </a:rPr>
            <a:t>Quantum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 ao longo de</a:t>
          </a:r>
          <a:r>
            <a:rPr lang="pt-BR" sz="1600" b="1" baseline="0">
              <a:solidFill>
                <a:sysClr val="windowText" lastClr="000000"/>
              </a:solidFill>
            </a:rPr>
            <a:t> 2021</a:t>
          </a:r>
        </a:p>
        <a:p>
          <a:pPr algn="ctr"/>
          <a:endParaRPr lang="pt-BR" sz="1600" b="1" baseline="0">
            <a:solidFill>
              <a:srgbClr val="FF0000"/>
            </a:solidFill>
          </a:endParaRPr>
        </a:p>
        <a:p>
          <a:pPr algn="ctr"/>
          <a:endParaRPr lang="pt-BR" sz="1600" b="1" baseline="0">
            <a:solidFill>
              <a:srgbClr val="FF0000"/>
            </a:solidFill>
          </a:endParaRPr>
        </a:p>
        <a:p>
          <a:pPr algn="ctr"/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Siga nosso </a:t>
          </a:r>
          <a:r>
            <a:rPr lang="pt-BR" sz="1600" b="1" baseline="0">
              <a:solidFill>
                <a:schemeClr val="tx2"/>
              </a:solidFill>
            </a:rPr>
            <a:t>LinkedIn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</a:rPr>
            <a:t> para acompanhar </a:t>
          </a:r>
          <a:r>
            <a:rPr lang="pt-BR" sz="1600" b="1" baseline="0">
              <a:solidFill>
                <a:sysClr val="windowText" lastClr="000000"/>
              </a:solidFill>
            </a:rPr>
            <a:t>IPOs em 2022</a:t>
          </a:r>
        </a:p>
      </xdr:txBody>
    </xdr:sp>
    <xdr:clientData/>
  </xdr:twoCellAnchor>
  <xdr:twoCellAnchor>
    <xdr:from>
      <xdr:col>9</xdr:col>
      <xdr:colOff>161925</xdr:colOff>
      <xdr:row>4</xdr:row>
      <xdr:rowOff>9525</xdr:rowOff>
    </xdr:from>
    <xdr:to>
      <xdr:col>13</xdr:col>
      <xdr:colOff>171449</xdr:colOff>
      <xdr:row>13</xdr:row>
      <xdr:rowOff>19051</xdr:rowOff>
    </xdr:to>
    <xdr:sp macro="" textlink="">
      <xdr:nvSpPr>
        <xdr:cNvPr id="9" name="Retângulo de cantos arredondados 8"/>
        <xdr:cNvSpPr/>
      </xdr:nvSpPr>
      <xdr:spPr>
        <a:xfrm>
          <a:off x="5648325" y="200025"/>
          <a:ext cx="2457449" cy="1962151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00B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accent3">
                  <a:lumMod val="50000"/>
                </a:schemeClr>
              </a:solidFill>
            </a:rPr>
            <a:t>Tipo de Oferta*</a:t>
          </a: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>
            <a:solidFill>
              <a:schemeClr val="tx2"/>
            </a:solidFill>
          </a:endParaRPr>
        </a:p>
        <a:p>
          <a:pPr algn="ctr"/>
          <a:endParaRPr lang="pt-BR" sz="1600" b="1" baseline="0">
            <a:solidFill>
              <a:schemeClr val="tx2"/>
            </a:solidFill>
          </a:endParaRPr>
        </a:p>
        <a:p>
          <a:pPr algn="ctr"/>
          <a:endParaRPr lang="pt-BR" sz="1600" b="1" baseline="0"/>
        </a:p>
      </xdr:txBody>
    </xdr:sp>
    <xdr:clientData/>
  </xdr:twoCellAnchor>
  <xdr:twoCellAnchor>
    <xdr:from>
      <xdr:col>0</xdr:col>
      <xdr:colOff>504825</xdr:colOff>
      <xdr:row>24</xdr:row>
      <xdr:rowOff>0</xdr:rowOff>
    </xdr:from>
    <xdr:to>
      <xdr:col>6</xdr:col>
      <xdr:colOff>314325</xdr:colOff>
      <xdr:row>40</xdr:row>
      <xdr:rowOff>142875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450261</xdr:colOff>
      <xdr:row>1</xdr:row>
      <xdr:rowOff>131067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29540"/>
          <a:ext cx="876981" cy="1844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9524</xdr:rowOff>
    </xdr:from>
    <xdr:to>
      <xdr:col>13</xdr:col>
      <xdr:colOff>9525</xdr:colOff>
      <xdr:row>21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9525</xdr:rowOff>
    </xdr:from>
    <xdr:to>
      <xdr:col>13</xdr:col>
      <xdr:colOff>0</xdr:colOff>
      <xdr:row>43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61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3</xdr:row>
      <xdr:rowOff>9525</xdr:rowOff>
    </xdr:from>
    <xdr:to>
      <xdr:col>21</xdr:col>
      <xdr:colOff>28575</xdr:colOff>
      <xdr:row>22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9526</xdr:colOff>
      <xdr:row>24</xdr:row>
      <xdr:rowOff>9525</xdr:rowOff>
    </xdr:from>
    <xdr:to>
      <xdr:col>21</xdr:col>
      <xdr:colOff>9526</xdr:colOff>
      <xdr:row>43</xdr:row>
      <xdr:rowOff>66675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21</xdr:col>
      <xdr:colOff>57150</xdr:colOff>
      <xdr:row>61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876981</xdr:colOff>
      <xdr:row>2</xdr:row>
      <xdr:rowOff>1527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82880"/>
          <a:ext cx="876981" cy="1844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160020</xdr:rowOff>
    </xdr:from>
    <xdr:to>
      <xdr:col>1</xdr:col>
      <xdr:colOff>419781</xdr:colOff>
      <xdr:row>1</xdr:row>
      <xdr:rowOff>161547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60020"/>
          <a:ext cx="876981" cy="1844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145461</xdr:colOff>
      <xdr:row>2</xdr:row>
      <xdr:rowOff>1527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876981" cy="1844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33</xdr:row>
      <xdr:rowOff>76199</xdr:rowOff>
    </xdr:from>
    <xdr:to>
      <xdr:col>8</xdr:col>
      <xdr:colOff>257175</xdr:colOff>
      <xdr:row>44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19</xdr:row>
      <xdr:rowOff>76199</xdr:rowOff>
    </xdr:from>
    <xdr:to>
      <xdr:col>8</xdr:col>
      <xdr:colOff>257175</xdr:colOff>
      <xdr:row>33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33</xdr:row>
      <xdr:rowOff>76199</xdr:rowOff>
    </xdr:from>
    <xdr:to>
      <xdr:col>17</xdr:col>
      <xdr:colOff>257175</xdr:colOff>
      <xdr:row>44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66674</xdr:colOff>
      <xdr:row>19</xdr:row>
      <xdr:rowOff>76199</xdr:rowOff>
    </xdr:from>
    <xdr:to>
      <xdr:col>17</xdr:col>
      <xdr:colOff>257175</xdr:colOff>
      <xdr:row>33</xdr:row>
      <xdr:rowOff>85724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66675</xdr:colOff>
      <xdr:row>33</xdr:row>
      <xdr:rowOff>76199</xdr:rowOff>
    </xdr:from>
    <xdr:to>
      <xdr:col>26</xdr:col>
      <xdr:colOff>257175</xdr:colOff>
      <xdr:row>44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66674</xdr:colOff>
      <xdr:row>19</xdr:row>
      <xdr:rowOff>76199</xdr:rowOff>
    </xdr:from>
    <xdr:to>
      <xdr:col>26</xdr:col>
      <xdr:colOff>257175</xdr:colOff>
      <xdr:row>33</xdr:row>
      <xdr:rowOff>85724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53340</xdr:colOff>
      <xdr:row>0</xdr:row>
      <xdr:rowOff>144780</xdr:rowOff>
    </xdr:from>
    <xdr:to>
      <xdr:col>2</xdr:col>
      <xdr:colOff>305481</xdr:colOff>
      <xdr:row>1</xdr:row>
      <xdr:rowOff>146307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144780"/>
          <a:ext cx="876981" cy="18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RowColHeaders="0" workbookViewId="0">
      <selection activeCell="B2" sqref="B2"/>
    </sheetView>
  </sheetViews>
  <sheetFormatPr defaultColWidth="0" defaultRowHeight="14.4" zeroHeight="1" x14ac:dyDescent="0.3"/>
  <cols>
    <col min="1" max="1" width="7.109375" style="14" customWidth="1"/>
    <col min="2" max="10" width="9.109375" style="14" customWidth="1"/>
    <col min="11" max="11" width="13.88671875" style="14" bestFit="1" customWidth="1"/>
    <col min="12" max="12" width="9.109375" style="14" customWidth="1"/>
    <col min="13" max="13" width="4.6640625" style="14" customWidth="1"/>
    <col min="14" max="14" width="9.109375" style="14" customWidth="1"/>
    <col min="15" max="16384" width="9.109375" style="14" hidden="1"/>
  </cols>
  <sheetData>
    <row r="1" spans="11:13" x14ac:dyDescent="0.3"/>
    <row r="2" spans="11:13" x14ac:dyDescent="0.3"/>
    <row r="3" spans="11:13" x14ac:dyDescent="0.3"/>
    <row r="4" spans="11:13" x14ac:dyDescent="0.3"/>
    <row r="5" spans="11:13" x14ac:dyDescent="0.3"/>
    <row r="6" spans="11:13" ht="18" x14ac:dyDescent="0.35">
      <c r="M6" s="53"/>
    </row>
    <row r="7" spans="11:13" ht="18" x14ac:dyDescent="0.35">
      <c r="M7" s="53"/>
    </row>
    <row r="8" spans="11:13" ht="18" x14ac:dyDescent="0.35">
      <c r="K8" s="54" t="s">
        <v>11</v>
      </c>
      <c r="L8" s="55">
        <f>'Relatórios (Ocultar)'!C15</f>
        <v>68</v>
      </c>
      <c r="M8" s="53"/>
    </row>
    <row r="9" spans="11:13" ht="18" x14ac:dyDescent="0.35">
      <c r="K9" s="54" t="s">
        <v>12</v>
      </c>
      <c r="L9" s="55">
        <f>'Relatórios (Ocultar)'!C16</f>
        <v>40</v>
      </c>
      <c r="M9" s="53"/>
    </row>
    <row r="10" spans="11:13" ht="18" x14ac:dyDescent="0.35">
      <c r="K10" s="54" t="s">
        <v>5</v>
      </c>
      <c r="L10" s="55">
        <f>'Relatórios (Ocultar)'!C17</f>
        <v>36</v>
      </c>
      <c r="M10" s="53"/>
    </row>
    <row r="11" spans="11:13" x14ac:dyDescent="0.3"/>
    <row r="12" spans="11:13" x14ac:dyDescent="0.3"/>
    <row r="13" spans="11:13" x14ac:dyDescent="0.3"/>
    <row r="14" spans="11:13" x14ac:dyDescent="0.3"/>
    <row r="15" spans="11:13" x14ac:dyDescent="0.3"/>
    <row r="16" spans="11:13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spans="1:1" x14ac:dyDescent="0.3"/>
    <row r="34" spans="1:1" x14ac:dyDescent="0.3"/>
    <row r="35" spans="1:1" x14ac:dyDescent="0.3"/>
    <row r="36" spans="1:1" x14ac:dyDescent="0.3"/>
    <row r="37" spans="1:1" x14ac:dyDescent="0.3"/>
    <row r="38" spans="1:1" x14ac:dyDescent="0.3"/>
    <row r="39" spans="1:1" x14ac:dyDescent="0.3"/>
    <row r="40" spans="1:1" x14ac:dyDescent="0.3"/>
    <row r="41" spans="1:1" x14ac:dyDescent="0.3">
      <c r="A41" s="14" t="s">
        <v>301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"/>
  <sheetViews>
    <sheetView workbookViewId="0"/>
  </sheetViews>
  <sheetFormatPr defaultRowHeight="14.4" x14ac:dyDescent="0.3"/>
  <cols>
    <col min="2" max="2" width="50.44140625" bestFit="1" customWidth="1"/>
    <col min="4" max="4" width="19" bestFit="1" customWidth="1"/>
    <col min="5" max="5" width="11.33203125" customWidth="1"/>
    <col min="6" max="6" width="18" bestFit="1" customWidth="1"/>
    <col min="8" max="8" width="18" bestFit="1" customWidth="1"/>
  </cols>
  <sheetData>
    <row r="3" spans="2:8" x14ac:dyDescent="0.3">
      <c r="B3" s="32" t="s">
        <v>291</v>
      </c>
      <c r="C3" s="32" t="s">
        <v>270</v>
      </c>
      <c r="D3" s="32" t="s">
        <v>276</v>
      </c>
    </row>
    <row r="4" spans="2:8" x14ac:dyDescent="0.3">
      <c r="B4" s="44" t="s">
        <v>292</v>
      </c>
      <c r="C4" s="33">
        <f>COUNT('Ofertas 2021'!O6:O77)</f>
        <v>72</v>
      </c>
      <c r="D4" s="47">
        <f>SUM('Ofertas 2021'!O6:O77)</f>
        <v>131021757108.75</v>
      </c>
    </row>
    <row r="5" spans="2:8" x14ac:dyDescent="0.3">
      <c r="B5" s="45" t="s">
        <v>16</v>
      </c>
      <c r="C5" s="33">
        <f>COUNTIF('Ofertas 2021'!I:I,"S")</f>
        <v>46</v>
      </c>
      <c r="D5" s="47">
        <f>SUMIF('Ofertas 2021'!I:I,"S",'Ofertas 2021'!O:O)</f>
        <v>66551379465.450012</v>
      </c>
    </row>
    <row r="6" spans="2:8" x14ac:dyDescent="0.3">
      <c r="B6" s="46" t="s">
        <v>272</v>
      </c>
      <c r="C6" s="33">
        <f>COUNTIF('Ofertas 2021'!I:I,"N")</f>
        <v>26</v>
      </c>
      <c r="D6" s="47">
        <f>SUMIF('Ofertas 2021'!I:I,"N",'Ofertas 2021'!O:O)</f>
        <v>64470377643.299995</v>
      </c>
    </row>
    <row r="8" spans="2:8" x14ac:dyDescent="0.3">
      <c r="C8" s="1" t="s">
        <v>292</v>
      </c>
      <c r="D8" s="56"/>
      <c r="E8" s="57" t="s">
        <v>16</v>
      </c>
      <c r="F8" s="57"/>
      <c r="G8" s="57" t="s">
        <v>272</v>
      </c>
      <c r="H8" s="57"/>
    </row>
    <row r="9" spans="2:8" x14ac:dyDescent="0.3">
      <c r="B9" s="32" t="s">
        <v>95</v>
      </c>
      <c r="C9" s="15" t="s">
        <v>270</v>
      </c>
      <c r="D9" s="15" t="s">
        <v>276</v>
      </c>
      <c r="E9" s="18" t="s">
        <v>270</v>
      </c>
      <c r="F9" s="18" t="s">
        <v>290</v>
      </c>
      <c r="G9" s="20" t="s">
        <v>270</v>
      </c>
      <c r="H9" s="20" t="s">
        <v>290</v>
      </c>
    </row>
    <row r="10" spans="2:8" x14ac:dyDescent="0.3">
      <c r="B10" s="26">
        <v>400</v>
      </c>
      <c r="C10" s="26">
        <f>COUNTIFS('Ofertas 2021'!G:G,'Relatórios (Ocultar)'!B10)</f>
        <v>35</v>
      </c>
      <c r="D10" s="42">
        <f>SUMIFS('Ofertas 2021'!O:O,'Ofertas 2021'!G:G,'Relatórios (Ocultar)'!B10)</f>
        <v>68115547602.490005</v>
      </c>
      <c r="E10" s="26">
        <f>COUNTIFS('Ofertas 2021'!G:G,'Relatórios (Ocultar)'!B10,'Ofertas 2021'!I:I,"S")</f>
        <v>34</v>
      </c>
      <c r="F10" s="42">
        <f>SUMIFS('Ofertas 2021'!O:O,'Ofertas 2021'!G:G,'Relatórios (Ocultar)'!B10,'Ofertas 2021'!I:I,"S")</f>
        <v>56756797602.490005</v>
      </c>
      <c r="G10" s="26">
        <f>COUNTIFS('Ofertas 2021'!G:G,'Relatórios (Ocultar)'!B10,'Ofertas 2021'!I:I,"N")</f>
        <v>1</v>
      </c>
      <c r="H10" s="42">
        <f>SUMIFS('Ofertas 2021'!O:O,'Ofertas 2021'!G:G,'Relatórios (Ocultar)'!B10,'Ofertas 2021'!I:I,"N")</f>
        <v>11358750000</v>
      </c>
    </row>
    <row r="11" spans="2:8" x14ac:dyDescent="0.3">
      <c r="B11" s="26">
        <v>476</v>
      </c>
      <c r="C11" s="26">
        <f>COUNTIFS('Ofertas 2021'!G:G,'Relatórios (Ocultar)'!B11)</f>
        <v>37</v>
      </c>
      <c r="D11" s="42">
        <f>SUMIFS('Ofertas 2021'!O:O,'Ofertas 2021'!G:G,'Relatórios (Ocultar)'!B11)</f>
        <v>62906209506.259995</v>
      </c>
      <c r="E11" s="26">
        <f>COUNTIFS('Ofertas 2021'!G:G,'Relatórios (Ocultar)'!B11,'Ofertas 2021'!I:I,"S")</f>
        <v>12</v>
      </c>
      <c r="F11" s="42">
        <f>SUMIFS('Ofertas 2021'!O:O,'Ofertas 2021'!G:G,'Relatórios (Ocultar)'!B11,'Ofertas 2021'!I:I,"S")</f>
        <v>9794581862.9599991</v>
      </c>
      <c r="G11" s="26">
        <f>COUNTIFS('Ofertas 2021'!G:G,'Relatórios (Ocultar)'!B11,'Ofertas 2021'!I:I,"N")</f>
        <v>25</v>
      </c>
      <c r="H11" s="42">
        <f>SUMIFS('Ofertas 2021'!O:O,'Ofertas 2021'!G:G,'Relatórios (Ocultar)'!B11,'Ofertas 2021'!I:I,"N")</f>
        <v>53111627643.299995</v>
      </c>
    </row>
    <row r="12" spans="2:8" x14ac:dyDescent="0.3">
      <c r="B12" s="48"/>
      <c r="C12" s="48"/>
      <c r="D12" s="49"/>
      <c r="E12" s="48"/>
      <c r="F12" s="49"/>
      <c r="G12" s="48"/>
      <c r="H12" s="49"/>
    </row>
    <row r="14" spans="2:8" x14ac:dyDescent="0.3">
      <c r="B14" s="32" t="s">
        <v>2</v>
      </c>
      <c r="C14" s="15" t="s">
        <v>270</v>
      </c>
      <c r="D14" s="18" t="s">
        <v>270</v>
      </c>
      <c r="E14" s="20" t="s">
        <v>270</v>
      </c>
    </row>
    <row r="15" spans="2:8" x14ac:dyDescent="0.3">
      <c r="B15" s="26" t="s">
        <v>11</v>
      </c>
      <c r="C15" s="26">
        <f>COUNTIFS('Ofertas 2021'!H:H,'Relatórios (Ocultar)'!B15)+COUNTIFS('Ofertas 2021'!H:H,B17)</f>
        <v>68</v>
      </c>
      <c r="D15" s="26">
        <f>COUNTIFS('Ofertas 2021'!H:H,'Relatórios (Ocultar)'!B15,'Ofertas 2021'!I:I,"S")+COUNTIFS('Ofertas 2021'!H:H,B17,'Ofertas 2021'!I:I,"S")</f>
        <v>45</v>
      </c>
      <c r="E15" s="26">
        <f>COUNTIFS('Ofertas 2021'!H:H,'Relatórios (Ocultar)'!B15,'Ofertas 2021'!I:I,"N")+COUNTIFS('Ofertas 2021'!H:H,B17,'Ofertas 2021'!I:I,"N")</f>
        <v>23</v>
      </c>
    </row>
    <row r="16" spans="2:8" x14ac:dyDescent="0.3">
      <c r="B16" s="26" t="s">
        <v>12</v>
      </c>
      <c r="C16" s="26">
        <f>COUNTIFS('Ofertas 2021'!H:H,'Relatórios (Ocultar)'!B16)+COUNTIFS('Ofertas 2021'!H:H,B17)</f>
        <v>40</v>
      </c>
      <c r="D16" s="26">
        <f>COUNTIFS('Ofertas 2021'!H:H,'Relatórios (Ocultar)'!B16,'Ofertas 2021'!I:I,"S")+COUNTIFS('Ofertas 2021'!H:H,B17,'Ofertas 2021'!I:I,"S")</f>
        <v>28</v>
      </c>
      <c r="E16" s="26">
        <f>COUNTIFS('Ofertas 2021'!H:H,'Relatórios (Ocultar)'!B16,'Ofertas 2021'!I:I,"N")+COUNTIFS('Ofertas 2021'!H:H,B17,'Ofertas 2021'!I:I,"N")</f>
        <v>12</v>
      </c>
    </row>
    <row r="17" spans="2:8" x14ac:dyDescent="0.3">
      <c r="B17" s="26" t="s">
        <v>5</v>
      </c>
      <c r="C17" s="26">
        <f>COUNTIFS('Ofertas 2021'!H:H,B17)</f>
        <v>36</v>
      </c>
      <c r="D17" s="26">
        <f>COUNTIFS('Ofertas 2021'!H:H,B17,'Ofertas 2021'!I:I,"S")</f>
        <v>27</v>
      </c>
      <c r="E17" s="26">
        <f>COUNTIFS('Ofertas 2021'!H:H,B17,'Ofertas 2021'!I:I,"N")</f>
        <v>9</v>
      </c>
    </row>
    <row r="20" spans="2:8" x14ac:dyDescent="0.3">
      <c r="B20" s="32" t="s">
        <v>3</v>
      </c>
      <c r="C20" s="15" t="s">
        <v>270</v>
      </c>
      <c r="D20" s="18" t="s">
        <v>270</v>
      </c>
      <c r="E20" s="20" t="s">
        <v>270</v>
      </c>
    </row>
    <row r="21" spans="2:8" x14ac:dyDescent="0.3">
      <c r="B21" s="25" t="s">
        <v>8</v>
      </c>
      <c r="C21" s="26">
        <f>COUNTIFS('Ofertas 2021'!L:L,'Relatórios (Ocultar)'!B21)</f>
        <v>63</v>
      </c>
      <c r="D21" s="26">
        <f>COUNTIFS('Ofertas 2021'!L:L,'Relatórios (Ocultar)'!B21,'Ofertas 2021'!I:I,"S")</f>
        <v>41</v>
      </c>
      <c r="E21" s="26">
        <f>COUNTIFS('Ofertas 2021'!L:L,'Relatórios (Ocultar)'!B21,'Ofertas 2021'!I:I,"N")</f>
        <v>22</v>
      </c>
    </row>
    <row r="22" spans="2:8" x14ac:dyDescent="0.3">
      <c r="B22" s="25" t="s">
        <v>54</v>
      </c>
      <c r="C22" s="26">
        <f>COUNTIFS('Ofertas 2021'!L:L,'Relatórios (Ocultar)'!B22)</f>
        <v>6</v>
      </c>
      <c r="D22" s="26">
        <f>COUNTIFS('Ofertas 2021'!L:L,'Relatórios (Ocultar)'!B22,'Ofertas 2021'!I:I,"S")</f>
        <v>2</v>
      </c>
      <c r="E22" s="26">
        <f>COUNTIFS('Ofertas 2021'!L:L,'Relatórios (Ocultar)'!B22,'Ofertas 2021'!I:I,"N")</f>
        <v>4</v>
      </c>
    </row>
    <row r="23" spans="2:8" x14ac:dyDescent="0.3">
      <c r="B23" s="25" t="s">
        <v>94</v>
      </c>
      <c r="C23" s="26">
        <f>COUNTIFS('Ofertas 2021'!L:L,'Relatórios (Ocultar)'!B23)</f>
        <v>2</v>
      </c>
      <c r="D23" s="26">
        <f>COUNTIFS('Ofertas 2021'!L:L,'Relatórios (Ocultar)'!B23,'Ofertas 2021'!I:I,"S")</f>
        <v>2</v>
      </c>
      <c r="E23" s="26">
        <f>COUNTIFS('Ofertas 2021'!L:L,'Relatórios (Ocultar)'!B23,'Ofertas 2021'!I:I,"N")</f>
        <v>0</v>
      </c>
    </row>
    <row r="24" spans="2:8" x14ac:dyDescent="0.3">
      <c r="B24" s="25" t="s">
        <v>14</v>
      </c>
      <c r="C24" s="26">
        <f>COUNTIFS('Ofertas 2021'!L:L,'Relatórios (Ocultar)'!B24)</f>
        <v>1</v>
      </c>
      <c r="D24" s="26">
        <f>COUNTIFS('Ofertas 2021'!L:L,'Relatórios (Ocultar)'!B24,'Ofertas 2021'!I:I,"S")</f>
        <v>1</v>
      </c>
      <c r="E24" s="26">
        <f>COUNTIFS('Ofertas 2021'!L:L,'Relatórios (Ocultar)'!B24,'Ofertas 2021'!I:I,"N")</f>
        <v>0</v>
      </c>
    </row>
    <row r="26" spans="2:8" x14ac:dyDescent="0.3">
      <c r="C26" s="1" t="s">
        <v>292</v>
      </c>
      <c r="D26" s="56"/>
      <c r="E26" s="57" t="s">
        <v>16</v>
      </c>
      <c r="F26" s="57"/>
      <c r="G26" s="57" t="s">
        <v>272</v>
      </c>
      <c r="H26" s="57"/>
    </row>
    <row r="27" spans="2:8" x14ac:dyDescent="0.3">
      <c r="B27" s="50" t="s">
        <v>0</v>
      </c>
      <c r="C27" s="15" t="s">
        <v>270</v>
      </c>
      <c r="D27" s="15" t="s">
        <v>276</v>
      </c>
      <c r="E27" s="18" t="s">
        <v>270</v>
      </c>
      <c r="F27" s="18" t="s">
        <v>290</v>
      </c>
      <c r="G27" s="20" t="s">
        <v>270</v>
      </c>
      <c r="H27" s="20" t="s">
        <v>290</v>
      </c>
    </row>
    <row r="28" spans="2:8" x14ac:dyDescent="0.3">
      <c r="B28" s="25" t="s">
        <v>23</v>
      </c>
      <c r="C28" s="26">
        <f>COUNTIFS('Ofertas 2021'!M:M,'Relatórios (Ocultar)'!B28)</f>
        <v>28</v>
      </c>
      <c r="D28" s="42">
        <f>SUMIFS('Ofertas 2021'!O:O,'Ofertas 2021'!M:M,'Relatórios (Ocultar)'!B28)</f>
        <v>38907064786.139999</v>
      </c>
      <c r="E28" s="26">
        <f>COUNTIFS('Ofertas 2021'!M:M,'Relatórios (Ocultar)'!B28,'Ofertas 2021'!I:I,"S")</f>
        <v>16</v>
      </c>
      <c r="F28" s="42">
        <f>SUMIFS('Ofertas 2021'!O:O,'Ofertas 2021'!M:M,'Relatórios (Ocultar)'!B28,'Ofertas 2021'!I:I,"S")</f>
        <v>20484044704.080002</v>
      </c>
      <c r="G28" s="26">
        <f>COUNTIFS('Ofertas 2021'!M:M,'Relatórios (Ocultar)'!B28,'Ofertas 2021'!I:I,"N")</f>
        <v>12</v>
      </c>
      <c r="H28" s="42">
        <f>SUMIFS('Ofertas 2021'!O:O,'Ofertas 2021'!M:M,'Relatórios (Ocultar)'!B28,'Ofertas 2021'!I:I,"N")</f>
        <v>18423020082.059998</v>
      </c>
    </row>
    <row r="29" spans="2:8" x14ac:dyDescent="0.3">
      <c r="B29" s="25" t="s">
        <v>17</v>
      </c>
      <c r="C29" s="26">
        <f>COUNTIFS('Ofertas 2021'!M:M,'Relatórios (Ocultar)'!B29)</f>
        <v>21</v>
      </c>
      <c r="D29" s="42">
        <f>SUMIFS('Ofertas 2021'!O:O,'Ofertas 2021'!M:M,'Relatórios (Ocultar)'!B29)</f>
        <v>37429363363.860001</v>
      </c>
      <c r="E29" s="26">
        <f>COUNTIFS('Ofertas 2021'!M:M,'Relatórios (Ocultar)'!B29,'Ofertas 2021'!I:I,"S")</f>
        <v>12</v>
      </c>
      <c r="F29" s="42">
        <f>SUMIFS('Ofertas 2021'!O:O,'Ofertas 2021'!M:M,'Relatórios (Ocultar)'!B29,'Ofertas 2021'!I:I,"S")</f>
        <v>18048457070.860001</v>
      </c>
      <c r="G29" s="26">
        <f>COUNTIFS('Ofertas 2021'!M:M,'Relatórios (Ocultar)'!B29,'Ofertas 2021'!I:I,"N")</f>
        <v>9</v>
      </c>
      <c r="H29" s="42">
        <f>SUMIFS('Ofertas 2021'!O:O,'Ofertas 2021'!M:M,'Relatórios (Ocultar)'!B29,'Ofertas 2021'!I:I,"N")</f>
        <v>19380906293</v>
      </c>
    </row>
    <row r="30" spans="2:8" x14ac:dyDescent="0.3">
      <c r="B30" s="25" t="s">
        <v>9</v>
      </c>
      <c r="C30" s="26">
        <f>COUNTIFS('Ofertas 2021'!M:M,'Relatórios (Ocultar)'!B30)</f>
        <v>6</v>
      </c>
      <c r="D30" s="42">
        <f>SUMIFS('Ofertas 2021'!O:O,'Ofertas 2021'!M:M,'Relatórios (Ocultar)'!B30)</f>
        <v>24274596233.599998</v>
      </c>
      <c r="E30" s="26">
        <f>COUNTIFS('Ofertas 2021'!M:M,'Relatórios (Ocultar)'!B30,'Ofertas 2021'!I:I,"S")</f>
        <v>5</v>
      </c>
      <c r="F30" s="42">
        <f>SUMIFS('Ofertas 2021'!O:O,'Ofertas 2021'!M:M,'Relatórios (Ocultar)'!B30,'Ofertas 2021'!I:I,"S")</f>
        <v>12915846233.6</v>
      </c>
      <c r="G30" s="26">
        <f>COUNTIFS('Ofertas 2021'!M:M,'Relatórios (Ocultar)'!B30,'Ofertas 2021'!I:I,"N")</f>
        <v>1</v>
      </c>
      <c r="H30" s="42">
        <f>SUMIFS('Ofertas 2021'!O:O,'Ofertas 2021'!M:M,'Relatórios (Ocultar)'!B30,'Ofertas 2021'!I:I,"N")</f>
        <v>11358750000</v>
      </c>
    </row>
    <row r="31" spans="2:8" x14ac:dyDescent="0.3">
      <c r="B31" s="25" t="s">
        <v>10</v>
      </c>
      <c r="C31" s="26">
        <f>COUNTIFS('Ofertas 2021'!M:M,'Relatórios (Ocultar)'!B31)</f>
        <v>4</v>
      </c>
      <c r="D31" s="42">
        <f>SUMIFS('Ofertas 2021'!O:O,'Ofertas 2021'!M:M,'Relatórios (Ocultar)'!B31)</f>
        <v>2574562541.5999999</v>
      </c>
      <c r="E31" s="26">
        <f>COUNTIFS('Ofertas 2021'!M:M,'Relatórios (Ocultar)'!B31,'Ofertas 2021'!I:I,"S")</f>
        <v>4</v>
      </c>
      <c r="F31" s="42">
        <f>SUMIFS('Ofertas 2021'!O:O,'Ofertas 2021'!M:M,'Relatórios (Ocultar)'!B31,'Ofertas 2021'!I:I,"S")</f>
        <v>2574562541.5999999</v>
      </c>
      <c r="G31" s="26">
        <f>COUNTIFS('Ofertas 2021'!M:M,'Relatórios (Ocultar)'!B31,'Ofertas 2021'!I:I,"N")</f>
        <v>0</v>
      </c>
      <c r="H31" s="42">
        <f>SUMIFS('Ofertas 2021'!O:O,'Ofertas 2021'!M:M,'Relatórios (Ocultar)'!B31,'Ofertas 2021'!I:I,"N")</f>
        <v>0</v>
      </c>
    </row>
    <row r="32" spans="2:8" x14ac:dyDescent="0.3">
      <c r="B32" s="25" t="s">
        <v>294</v>
      </c>
      <c r="C32" s="26">
        <f>C4-SUM(C28:C31)</f>
        <v>13</v>
      </c>
      <c r="D32" s="42">
        <f>D4-SUM(D28:D31)</f>
        <v>27836170183.549988</v>
      </c>
      <c r="E32" s="26">
        <f>C5-SUM(E28:E31)</f>
        <v>9</v>
      </c>
      <c r="F32" s="42">
        <f>D5-SUM(F28:F31)</f>
        <v>12528468915.310013</v>
      </c>
      <c r="G32" s="26">
        <f>C6-SUM(G28:G31)</f>
        <v>4</v>
      </c>
      <c r="H32" s="52">
        <f>D6-SUM(H28:H31)</f>
        <v>15307701268.239998</v>
      </c>
    </row>
  </sheetData>
  <mergeCells count="6">
    <mergeCell ref="C26:D26"/>
    <mergeCell ref="E26:F26"/>
    <mergeCell ref="G26:H26"/>
    <mergeCell ref="E8:F8"/>
    <mergeCell ref="G8:H8"/>
    <mergeCell ref="C8:D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RowColHeaders="0" workbookViewId="0">
      <selection activeCell="A2" sqref="A2"/>
    </sheetView>
  </sheetViews>
  <sheetFormatPr defaultColWidth="0" defaultRowHeight="14.4" zeroHeight="1" x14ac:dyDescent="0.3"/>
  <cols>
    <col min="1" max="1" width="6.33203125" style="14" customWidth="1"/>
    <col min="2" max="10" width="9.109375" style="14" customWidth="1"/>
    <col min="11" max="11" width="13.88671875" style="14" bestFit="1" customWidth="1"/>
    <col min="12" max="12" width="9.109375" style="14" customWidth="1"/>
    <col min="13" max="13" width="4.33203125" style="14" customWidth="1"/>
    <col min="14" max="14" width="9.5546875" style="14" customWidth="1"/>
    <col min="15" max="16384" width="9.109375" style="14" hidden="1"/>
  </cols>
  <sheetData>
    <row r="1" spans="11:13" x14ac:dyDescent="0.3"/>
    <row r="2" spans="11:13" x14ac:dyDescent="0.3"/>
    <row r="3" spans="11:13" x14ac:dyDescent="0.3"/>
    <row r="4" spans="11:13" x14ac:dyDescent="0.3"/>
    <row r="5" spans="11:13" x14ac:dyDescent="0.3"/>
    <row r="6" spans="11:13" ht="18" x14ac:dyDescent="0.35">
      <c r="M6" s="53"/>
    </row>
    <row r="7" spans="11:13" ht="18" x14ac:dyDescent="0.35">
      <c r="M7" s="53"/>
    </row>
    <row r="8" spans="11:13" ht="18" x14ac:dyDescent="0.35">
      <c r="K8" s="54" t="s">
        <v>11</v>
      </c>
      <c r="L8" s="55">
        <f>'Relatórios (Ocultar)'!E15</f>
        <v>23</v>
      </c>
      <c r="M8" s="53"/>
    </row>
    <row r="9" spans="11:13" ht="18" x14ac:dyDescent="0.35">
      <c r="K9" s="54" t="s">
        <v>12</v>
      </c>
      <c r="L9" s="55">
        <f>'Relatórios (Ocultar)'!E16</f>
        <v>12</v>
      </c>
      <c r="M9" s="53"/>
    </row>
    <row r="10" spans="11:13" ht="18" x14ac:dyDescent="0.35">
      <c r="K10" s="54" t="s">
        <v>5</v>
      </c>
      <c r="L10" s="55">
        <f>'Relatórios (Ocultar)'!E17</f>
        <v>9</v>
      </c>
      <c r="M10" s="53"/>
    </row>
    <row r="11" spans="11:13" x14ac:dyDescent="0.3"/>
    <row r="12" spans="11:13" x14ac:dyDescent="0.3"/>
    <row r="13" spans="11:13" x14ac:dyDescent="0.3"/>
    <row r="14" spans="11:13" x14ac:dyDescent="0.3"/>
    <row r="15" spans="11:13" x14ac:dyDescent="0.3"/>
    <row r="16" spans="11:13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spans="1:1" x14ac:dyDescent="0.3"/>
    <row r="34" spans="1:1" x14ac:dyDescent="0.3"/>
    <row r="35" spans="1:1" x14ac:dyDescent="0.3"/>
    <row r="36" spans="1:1" x14ac:dyDescent="0.3"/>
    <row r="37" spans="1:1" x14ac:dyDescent="0.3"/>
    <row r="38" spans="1:1" x14ac:dyDescent="0.3"/>
    <row r="39" spans="1:1" x14ac:dyDescent="0.3"/>
    <row r="40" spans="1:1" x14ac:dyDescent="0.3"/>
    <row r="41" spans="1:1" x14ac:dyDescent="0.3">
      <c r="A41" s="14" t="s">
        <v>301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RowColHeaders="0" workbookViewId="0"/>
  </sheetViews>
  <sheetFormatPr defaultColWidth="0" defaultRowHeight="14.4" zeroHeight="1" x14ac:dyDescent="0.3"/>
  <cols>
    <col min="1" max="1" width="6.33203125" style="14" customWidth="1"/>
    <col min="2" max="10" width="9.109375" style="14" customWidth="1"/>
    <col min="11" max="11" width="13.88671875" style="14" bestFit="1" customWidth="1"/>
    <col min="12" max="12" width="9.109375" style="14" customWidth="1"/>
    <col min="13" max="13" width="4.5546875" style="14" customWidth="1"/>
    <col min="14" max="14" width="9.109375" style="14" customWidth="1"/>
    <col min="15" max="16384" width="9.109375" style="14" hidden="1"/>
  </cols>
  <sheetData>
    <row r="1" spans="11:13" x14ac:dyDescent="0.3"/>
    <row r="2" spans="11:13" x14ac:dyDescent="0.3"/>
    <row r="3" spans="11:13" x14ac:dyDescent="0.3"/>
    <row r="4" spans="11:13" x14ac:dyDescent="0.3"/>
    <row r="5" spans="11:13" x14ac:dyDescent="0.3"/>
    <row r="6" spans="11:13" x14ac:dyDescent="0.3"/>
    <row r="7" spans="11:13" ht="18" x14ac:dyDescent="0.35">
      <c r="M7" s="53"/>
    </row>
    <row r="8" spans="11:13" ht="18" x14ac:dyDescent="0.35">
      <c r="M8" s="53"/>
    </row>
    <row r="9" spans="11:13" ht="18" x14ac:dyDescent="0.35">
      <c r="K9" s="54" t="s">
        <v>11</v>
      </c>
      <c r="L9" s="55">
        <f>'Relatórios (Ocultar)'!D15</f>
        <v>45</v>
      </c>
      <c r="M9" s="53"/>
    </row>
    <row r="10" spans="11:13" ht="18" x14ac:dyDescent="0.35">
      <c r="K10" s="54" t="s">
        <v>12</v>
      </c>
      <c r="L10" s="55">
        <f>'Relatórios (Ocultar)'!D16</f>
        <v>28</v>
      </c>
      <c r="M10" s="53"/>
    </row>
    <row r="11" spans="11:13" ht="18" x14ac:dyDescent="0.35">
      <c r="K11" s="54" t="s">
        <v>5</v>
      </c>
      <c r="L11" s="55">
        <f>'Relatórios (Ocultar)'!D17</f>
        <v>27</v>
      </c>
      <c r="M11" s="53"/>
    </row>
    <row r="12" spans="11:13" x14ac:dyDescent="0.3"/>
    <row r="13" spans="11:13" x14ac:dyDescent="0.3"/>
    <row r="14" spans="11:13" x14ac:dyDescent="0.3"/>
    <row r="15" spans="11:13" x14ac:dyDescent="0.3"/>
    <row r="16" spans="11:13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spans="1:1" x14ac:dyDescent="0.3"/>
    <row r="34" spans="1:1" x14ac:dyDescent="0.3"/>
    <row r="35" spans="1:1" x14ac:dyDescent="0.3"/>
    <row r="36" spans="1:1" x14ac:dyDescent="0.3"/>
    <row r="37" spans="1:1" x14ac:dyDescent="0.3"/>
    <row r="38" spans="1:1" x14ac:dyDescent="0.3"/>
    <row r="39" spans="1:1" x14ac:dyDescent="0.3"/>
    <row r="40" spans="1:1" x14ac:dyDescent="0.3"/>
    <row r="41" spans="1:1" x14ac:dyDescent="0.3"/>
    <row r="42" spans="1:1" x14ac:dyDescent="0.3">
      <c r="A42" s="14" t="s">
        <v>301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RowColHeaders="0" tabSelected="1" topLeftCell="A40" workbookViewId="0">
      <selection activeCell="B2" sqref="B2"/>
    </sheetView>
  </sheetViews>
  <sheetFormatPr defaultColWidth="0" defaultRowHeight="14.4" zeroHeight="1" x14ac:dyDescent="0.3"/>
  <cols>
    <col min="1" max="1" width="9.109375" style="14" customWidth="1"/>
    <col min="2" max="2" width="30" style="14" bestFit="1" customWidth="1"/>
    <col min="3" max="3" width="9.109375" style="14" customWidth="1"/>
    <col min="4" max="4" width="18" style="14" bestFit="1" customWidth="1"/>
    <col min="5" max="22" width="9.109375" style="14" customWidth="1"/>
    <col min="23" max="16384" width="9.109375" style="14" hidden="1"/>
  </cols>
  <sheetData>
    <row r="1" spans="2:4" x14ac:dyDescent="0.3"/>
    <row r="2" spans="2:4" x14ac:dyDescent="0.3"/>
    <row r="3" spans="2:4" x14ac:dyDescent="0.3"/>
    <row r="4" spans="2:4" x14ac:dyDescent="0.3">
      <c r="B4" s="58" t="s">
        <v>271</v>
      </c>
      <c r="C4" s="59"/>
      <c r="D4" s="60"/>
    </row>
    <row r="5" spans="2:4" x14ac:dyDescent="0.3"/>
    <row r="6" spans="2:4" x14ac:dyDescent="0.3">
      <c r="B6" s="15" t="s">
        <v>265</v>
      </c>
      <c r="C6" s="15" t="s">
        <v>270</v>
      </c>
      <c r="D6" s="15" t="s">
        <v>276</v>
      </c>
    </row>
    <row r="7" spans="2:4" x14ac:dyDescent="0.3">
      <c r="B7" s="26" t="s">
        <v>176</v>
      </c>
      <c r="C7" s="26">
        <f>COUNTIF('Ofertas 2021'!E:E,'Ofertas por setor'!B7)</f>
        <v>14</v>
      </c>
      <c r="D7" s="42">
        <f>SUMIF('Ofertas 2021'!E:E,'Ofertas por setor'!B7,'Ofertas 2021'!O:O)</f>
        <v>16281828059.400002</v>
      </c>
    </row>
    <row r="8" spans="2:4" x14ac:dyDescent="0.3">
      <c r="B8" s="26" t="s">
        <v>170</v>
      </c>
      <c r="C8" s="26">
        <f>COUNTIF('Ofertas 2021'!E:E,'Ofertas por setor'!B8)</f>
        <v>11</v>
      </c>
      <c r="D8" s="42">
        <f>SUMIF('Ofertas 2021'!E:E,'Ofertas por setor'!B8,'Ofertas 2021'!O:O)</f>
        <v>19172538091.700001</v>
      </c>
    </row>
    <row r="9" spans="2:4" x14ac:dyDescent="0.3">
      <c r="B9" s="26" t="s">
        <v>174</v>
      </c>
      <c r="C9" s="26">
        <f>COUNTIF('Ofertas 2021'!E:E,'Ofertas por setor'!B9)</f>
        <v>10</v>
      </c>
      <c r="D9" s="42">
        <f>SUMIF('Ofertas 2021'!E:E,'Ofertas por setor'!B9,'Ofertas 2021'!O:O)</f>
        <v>20438886050.119999</v>
      </c>
    </row>
    <row r="10" spans="2:4" x14ac:dyDescent="0.3">
      <c r="B10" s="26" t="s">
        <v>178</v>
      </c>
      <c r="C10" s="26">
        <f>COUNTIF('Ofertas 2021'!E:E,'Ofertas por setor'!B10)</f>
        <v>8</v>
      </c>
      <c r="D10" s="42">
        <f>SUMIF('Ofertas 2021'!E:E,'Ofertas por setor'!B10,'Ofertas 2021'!O:O)</f>
        <v>20156555819.68</v>
      </c>
    </row>
    <row r="11" spans="2:4" x14ac:dyDescent="0.3">
      <c r="B11" s="26" t="s">
        <v>168</v>
      </c>
      <c r="C11" s="26">
        <f>COUNTIF('Ofertas 2021'!E:E,'Ofertas por setor'!B11)</f>
        <v>6</v>
      </c>
      <c r="D11" s="42">
        <f>SUMIF('Ofertas 2021'!E:E,'Ofertas por setor'!B11,'Ofertas 2021'!O:O)</f>
        <v>7153575212.6400003</v>
      </c>
    </row>
    <row r="12" spans="2:4" x14ac:dyDescent="0.3">
      <c r="B12" s="26" t="s">
        <v>165</v>
      </c>
      <c r="C12" s="26">
        <f>COUNTIF('Ofertas 2021'!E:E,'Ofertas por setor'!B12)</f>
        <v>6</v>
      </c>
      <c r="D12" s="42">
        <f>SUMIF('Ofertas 2021'!E:E,'Ofertas por setor'!B12,'Ofertas 2021'!O:O)</f>
        <v>19047222996</v>
      </c>
    </row>
    <row r="13" spans="2:4" x14ac:dyDescent="0.3">
      <c r="B13" s="26" t="s">
        <v>166</v>
      </c>
      <c r="C13" s="26">
        <f>COUNTIF('Ofertas 2021'!E:E,'Ofertas por setor'!B13)</f>
        <v>6</v>
      </c>
      <c r="D13" s="42">
        <f>SUMIF('Ofertas 2021'!E:E,'Ofertas por setor'!B13,'Ofertas 2021'!O:O)</f>
        <v>10547319915.799999</v>
      </c>
    </row>
    <row r="14" spans="2:4" x14ac:dyDescent="0.3">
      <c r="B14" s="26" t="s">
        <v>181</v>
      </c>
      <c r="C14" s="26">
        <f>COUNTIF('Ofertas 2021'!E:E,'Ofertas por setor'!B14)</f>
        <v>4</v>
      </c>
      <c r="D14" s="42">
        <f>SUMIF('Ofertas 2021'!E:E,'Ofertas por setor'!B14,'Ofertas 2021'!O:O)</f>
        <v>4072426585.1199999</v>
      </c>
    </row>
    <row r="15" spans="2:4" x14ac:dyDescent="0.3">
      <c r="B15" s="26" t="s">
        <v>172</v>
      </c>
      <c r="C15" s="26">
        <f>COUNTIF('Ofertas 2021'!E:E,'Ofertas por setor'!B15)</f>
        <v>4</v>
      </c>
      <c r="D15" s="42">
        <f>SUMIF('Ofertas 2021'!E:E,'Ofertas por setor'!B15,'Ofertas 2021'!O:O)</f>
        <v>6886152407.8899994</v>
      </c>
    </row>
    <row r="16" spans="2:4" x14ac:dyDescent="0.3">
      <c r="B16" s="26" t="s">
        <v>184</v>
      </c>
      <c r="C16" s="26">
        <f>COUNTIF('Ofertas 2021'!E:E,'Ofertas por setor'!B16)</f>
        <v>3</v>
      </c>
      <c r="D16" s="42">
        <f>SUMIF('Ofertas 2021'!E:E,'Ofertas por setor'!B16,'Ofertas 2021'!O:O)</f>
        <v>7265251970.3999996</v>
      </c>
    </row>
    <row r="17" spans="2:4" x14ac:dyDescent="0.3"/>
    <row r="18" spans="2:4" x14ac:dyDescent="0.3"/>
    <row r="19" spans="2:4" x14ac:dyDescent="0.3"/>
    <row r="20" spans="2:4" x14ac:dyDescent="0.3"/>
    <row r="21" spans="2:4" x14ac:dyDescent="0.3"/>
    <row r="22" spans="2:4" x14ac:dyDescent="0.3"/>
    <row r="23" spans="2:4" x14ac:dyDescent="0.3"/>
    <row r="24" spans="2:4" x14ac:dyDescent="0.3"/>
    <row r="25" spans="2:4" x14ac:dyDescent="0.3">
      <c r="B25" s="61" t="s">
        <v>16</v>
      </c>
      <c r="C25" s="61"/>
      <c r="D25" s="61"/>
    </row>
    <row r="26" spans="2:4" x14ac:dyDescent="0.3"/>
    <row r="27" spans="2:4" x14ac:dyDescent="0.3">
      <c r="B27" s="18" t="s">
        <v>265</v>
      </c>
      <c r="C27" s="18" t="s">
        <v>270</v>
      </c>
      <c r="D27" s="18" t="s">
        <v>276</v>
      </c>
    </row>
    <row r="28" spans="2:4" x14ac:dyDescent="0.3">
      <c r="B28" s="26" t="s">
        <v>176</v>
      </c>
      <c r="C28" s="26">
        <f>COUNTIFS('Ofertas 2021'!E:E,'Ofertas por setor'!B28,'Ofertas 2021'!I:I,"S")</f>
        <v>10</v>
      </c>
      <c r="D28" s="42">
        <f>SUMIFS('Ofertas 2021'!O:O,'Ofertas 2021'!E:E,'Ofertas por setor'!B28,'Ofertas 2021'!I:I,"S")</f>
        <v>10687095095.400002</v>
      </c>
    </row>
    <row r="29" spans="2:4" x14ac:dyDescent="0.3">
      <c r="B29" s="26" t="s">
        <v>174</v>
      </c>
      <c r="C29" s="26">
        <f>COUNTIFS('Ofertas 2021'!E:E,'Ofertas por setor'!B29,'Ofertas 2021'!I:I,"S")</f>
        <v>7</v>
      </c>
      <c r="D29" s="42">
        <f>SUMIFS('Ofertas 2021'!O:O,'Ofertas 2021'!E:E,'Ofertas por setor'!B29,'Ofertas 2021'!I:I,"S")</f>
        <v>9391598039.3199997</v>
      </c>
    </row>
    <row r="30" spans="2:4" x14ac:dyDescent="0.3">
      <c r="B30" s="26" t="s">
        <v>170</v>
      </c>
      <c r="C30" s="26">
        <f>COUNTIFS('Ofertas 2021'!E:E,'Ofertas por setor'!B30,'Ofertas 2021'!I:I,"S")</f>
        <v>6</v>
      </c>
      <c r="D30" s="42">
        <f>SUMIFS('Ofertas 2021'!O:O,'Ofertas 2021'!E:E,'Ofertas por setor'!B30,'Ofertas 2021'!I:I,"S")</f>
        <v>8452320340.1999998</v>
      </c>
    </row>
    <row r="31" spans="2:4" x14ac:dyDescent="0.3">
      <c r="B31" s="26" t="s">
        <v>178</v>
      </c>
      <c r="C31" s="26">
        <f>COUNTIFS('Ofertas 2021'!E:E,'Ofertas por setor'!B31,'Ofertas 2021'!I:I,"S")</f>
        <v>5</v>
      </c>
      <c r="D31" s="42">
        <f>SUMIFS('Ofertas 2021'!O:O,'Ofertas 2021'!E:E,'Ofertas por setor'!B31,'Ofertas 2021'!I:I,"S")</f>
        <v>8764854521.6800003</v>
      </c>
    </row>
    <row r="32" spans="2:4" x14ac:dyDescent="0.3">
      <c r="B32" s="26" t="s">
        <v>166</v>
      </c>
      <c r="C32" s="26">
        <f>COUNTIFS('Ofertas 2021'!E:E,'Ofertas por setor'!B32,'Ofertas 2021'!I:I,"S")</f>
        <v>5</v>
      </c>
      <c r="D32" s="42">
        <f>SUMIFS('Ofertas 2021'!O:O,'Ofertas 2021'!E:E,'Ofertas por setor'!B32,'Ofertas 2021'!I:I,"S")</f>
        <v>10047142105.799999</v>
      </c>
    </row>
    <row r="33" spans="2:4" x14ac:dyDescent="0.3">
      <c r="B33" s="26" t="s">
        <v>181</v>
      </c>
      <c r="C33" s="26">
        <f>COUNTIFS('Ofertas 2021'!E:E,'Ofertas por setor'!B33,'Ofertas 2021'!I:I,"S")</f>
        <v>4</v>
      </c>
      <c r="D33" s="42">
        <f>SUMIFS('Ofertas 2021'!O:O,'Ofertas 2021'!E:E,'Ofertas por setor'!B33,'Ofertas 2021'!I:I,"S")</f>
        <v>4072426585.1199999</v>
      </c>
    </row>
    <row r="34" spans="2:4" x14ac:dyDescent="0.3">
      <c r="B34" s="26" t="s">
        <v>184</v>
      </c>
      <c r="C34" s="26">
        <f>COUNTIFS('Ofertas 2021'!E:E,'Ofertas por setor'!B34,'Ofertas 2021'!I:I,"S")</f>
        <v>3</v>
      </c>
      <c r="D34" s="42">
        <f>SUMIFS('Ofertas 2021'!O:O,'Ofertas 2021'!E:E,'Ofertas por setor'!B34,'Ofertas 2021'!I:I,"S")</f>
        <v>7265251970.3999996</v>
      </c>
    </row>
    <row r="35" spans="2:4" x14ac:dyDescent="0.3">
      <c r="B35" s="26" t="s">
        <v>168</v>
      </c>
      <c r="C35" s="26">
        <f>COUNTIFS('Ofertas 2021'!E:E,'Ofertas por setor'!B35,'Ofertas 2021'!I:I,"S")</f>
        <v>2</v>
      </c>
      <c r="D35" s="42">
        <f>SUMIFS('Ofertas 2021'!O:O,'Ofertas 2021'!E:E,'Ofertas por setor'!B35,'Ofertas 2021'!I:I,"S")</f>
        <v>1441354503.6399999</v>
      </c>
    </row>
    <row r="36" spans="2:4" x14ac:dyDescent="0.3">
      <c r="B36" s="26" t="s">
        <v>165</v>
      </c>
      <c r="C36" s="26">
        <f>COUNTIFS('Ofertas 2021'!E:E,'Ofertas por setor'!B36,'Ofertas 2021'!I:I,"S")</f>
        <v>2</v>
      </c>
      <c r="D36" s="42">
        <f>SUMIFS('Ofertas 2021'!O:O,'Ofertas 2021'!E:E,'Ofertas por setor'!B36,'Ofertas 2021'!I:I,"S")</f>
        <v>2407374996</v>
      </c>
    </row>
    <row r="37" spans="2:4" x14ac:dyDescent="0.3">
      <c r="B37" s="26" t="s">
        <v>172</v>
      </c>
      <c r="C37" s="26">
        <f>COUNTIFS('Ofertas 2021'!E:E,'Ofertas por setor'!B37,'Ofertas 2021'!I:I,"S")</f>
        <v>2</v>
      </c>
      <c r="D37" s="42">
        <f>SUMIFS('Ofertas 2021'!O:O,'Ofertas 2021'!E:E,'Ofertas por setor'!B37,'Ofertas 2021'!I:I,"S")</f>
        <v>4021961307.8899999</v>
      </c>
    </row>
    <row r="38" spans="2:4" x14ac:dyDescent="0.3"/>
    <row r="39" spans="2:4" x14ac:dyDescent="0.3"/>
    <row r="40" spans="2:4" x14ac:dyDescent="0.3"/>
    <row r="41" spans="2:4" x14ac:dyDescent="0.3"/>
    <row r="42" spans="2:4" x14ac:dyDescent="0.3"/>
    <row r="43" spans="2:4" x14ac:dyDescent="0.3"/>
    <row r="44" spans="2:4" x14ac:dyDescent="0.3"/>
    <row r="45" spans="2:4" x14ac:dyDescent="0.3"/>
    <row r="46" spans="2:4" x14ac:dyDescent="0.3">
      <c r="B46" s="61" t="s">
        <v>272</v>
      </c>
      <c r="C46" s="61"/>
      <c r="D46" s="61"/>
    </row>
    <row r="47" spans="2:4" x14ac:dyDescent="0.3"/>
    <row r="48" spans="2:4" x14ac:dyDescent="0.3">
      <c r="B48" s="43" t="s">
        <v>265</v>
      </c>
      <c r="C48" s="43" t="s">
        <v>270</v>
      </c>
      <c r="D48" s="43" t="s">
        <v>276</v>
      </c>
    </row>
    <row r="49" spans="2:4" x14ac:dyDescent="0.3">
      <c r="B49" s="26" t="s">
        <v>170</v>
      </c>
      <c r="C49" s="26">
        <f>COUNTIFS('Ofertas 2021'!E:E,B49,'Ofertas 2021'!I:I,"N")</f>
        <v>5</v>
      </c>
      <c r="D49" s="42">
        <f>SUMIFS('Ofertas 2021'!O:O,'Ofertas 2021'!E:E,'Ofertas por setor'!B49,'Ofertas 2021'!I:I,"N")</f>
        <v>10720217751.5</v>
      </c>
    </row>
    <row r="50" spans="2:4" x14ac:dyDescent="0.3">
      <c r="B50" s="26" t="s">
        <v>176</v>
      </c>
      <c r="C50" s="26">
        <f>COUNTIFS('Ofertas 2021'!E:E,B50,'Ofertas 2021'!I:I,"N")</f>
        <v>4</v>
      </c>
      <c r="D50" s="42">
        <f>SUMIFS('Ofertas 2021'!O:O,'Ofertas 2021'!E:E,'Ofertas por setor'!B50,'Ofertas 2021'!I:I,"N")</f>
        <v>5594732964</v>
      </c>
    </row>
    <row r="51" spans="2:4" x14ac:dyDescent="0.3">
      <c r="B51" s="26" t="s">
        <v>168</v>
      </c>
      <c r="C51" s="26">
        <f>COUNTIFS('Ofertas 2021'!E:E,B51,'Ofertas 2021'!I:I,"N")</f>
        <v>4</v>
      </c>
      <c r="D51" s="42">
        <f>SUMIFS('Ofertas 2021'!O:O,'Ofertas 2021'!E:E,'Ofertas por setor'!B51,'Ofertas 2021'!I:I,"N")</f>
        <v>5712220709</v>
      </c>
    </row>
    <row r="52" spans="2:4" x14ac:dyDescent="0.3">
      <c r="B52" s="26" t="s">
        <v>165</v>
      </c>
      <c r="C52" s="26">
        <f>COUNTIFS('Ofertas 2021'!E:E,B52,'Ofertas 2021'!I:I,"N")</f>
        <v>4</v>
      </c>
      <c r="D52" s="42">
        <f>SUMIFS('Ofertas 2021'!O:O,'Ofertas 2021'!E:E,'Ofertas por setor'!B52,'Ofertas 2021'!I:I,"N")</f>
        <v>16639848000</v>
      </c>
    </row>
    <row r="53" spans="2:4" x14ac:dyDescent="0.3">
      <c r="B53" s="26" t="s">
        <v>174</v>
      </c>
      <c r="C53" s="26">
        <f>COUNTIFS('Ofertas 2021'!E:E,B53,'Ofertas 2021'!I:I,"N")</f>
        <v>3</v>
      </c>
      <c r="D53" s="42">
        <f>SUMIFS('Ofertas 2021'!O:O,'Ofertas 2021'!E:E,'Ofertas por setor'!B53,'Ofertas 2021'!I:I,"N")</f>
        <v>11047288010.799999</v>
      </c>
    </row>
    <row r="54" spans="2:4" x14ac:dyDescent="0.3">
      <c r="B54" s="26" t="s">
        <v>178</v>
      </c>
      <c r="C54" s="26">
        <f>COUNTIFS('Ofertas 2021'!E:E,B54,'Ofertas 2021'!I:I,"N")</f>
        <v>3</v>
      </c>
      <c r="D54" s="42">
        <f>SUMIFS('Ofertas 2021'!O:O,'Ofertas 2021'!E:E,'Ofertas por setor'!B54,'Ofertas 2021'!I:I,"N")</f>
        <v>11391701298</v>
      </c>
    </row>
    <row r="55" spans="2:4" x14ac:dyDescent="0.3">
      <c r="B55" s="26" t="s">
        <v>172</v>
      </c>
      <c r="C55" s="26">
        <f>COUNTIFS('Ofertas 2021'!E:E,B55,'Ofertas 2021'!I:I,"N")</f>
        <v>2</v>
      </c>
      <c r="D55" s="42">
        <f>SUMIFS('Ofertas 2021'!O:O,'Ofertas 2021'!E:E,'Ofertas por setor'!B55,'Ofertas 2021'!I:I,"N")</f>
        <v>2864191100</v>
      </c>
    </row>
    <row r="56" spans="2:4" x14ac:dyDescent="0.3">
      <c r="B56" s="26" t="s">
        <v>166</v>
      </c>
      <c r="C56" s="26">
        <f>COUNTIFS('Ofertas 2021'!E:E,B56,'Ofertas 2021'!I:I,"N")</f>
        <v>1</v>
      </c>
      <c r="D56" s="42">
        <f>SUMIFS('Ofertas 2021'!O:O,'Ofertas 2021'!E:E,'Ofertas por setor'!B56,'Ofertas 2021'!I:I,"N")</f>
        <v>500177810</v>
      </c>
    </row>
    <row r="57" spans="2:4" x14ac:dyDescent="0.3"/>
    <row r="58" spans="2:4" x14ac:dyDescent="0.3"/>
    <row r="59" spans="2:4" x14ac:dyDescent="0.3"/>
    <row r="60" spans="2:4" x14ac:dyDescent="0.3"/>
    <row r="61" spans="2:4" x14ac:dyDescent="0.3"/>
    <row r="62" spans="2:4" x14ac:dyDescent="0.3"/>
    <row r="63" spans="2:4" x14ac:dyDescent="0.3"/>
  </sheetData>
  <mergeCells count="3">
    <mergeCell ref="B4:D4"/>
    <mergeCell ref="B25:D25"/>
    <mergeCell ref="B46:D4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showRowColHeaders="0" workbookViewId="0">
      <selection activeCell="C1" sqref="C1"/>
    </sheetView>
  </sheetViews>
  <sheetFormatPr defaultColWidth="0" defaultRowHeight="14.4" zeroHeight="1" x14ac:dyDescent="0.3"/>
  <cols>
    <col min="1" max="1" width="9.109375" style="13" customWidth="1"/>
    <col min="2" max="2" width="12" style="13" customWidth="1"/>
    <col min="3" max="3" width="21.44140625" style="13" bestFit="1" customWidth="1"/>
    <col min="4" max="4" width="8.33203125" style="13" bestFit="1" customWidth="1"/>
    <col min="5" max="5" width="30" style="13" bestFit="1" customWidth="1"/>
    <col min="6" max="6" width="38.44140625" style="13" bestFit="1" customWidth="1"/>
    <col min="7" max="8" width="9.109375" style="13" customWidth="1"/>
    <col min="9" max="9" width="21.44140625" style="13" bestFit="1" customWidth="1"/>
    <col min="10" max="10" width="7.88671875" style="13" bestFit="1" customWidth="1"/>
    <col min="11" max="11" width="14" style="13" bestFit="1" customWidth="1"/>
    <col min="12" max="21" width="9.109375" style="13" hidden="1" customWidth="1"/>
    <col min="22" max="22" width="14" style="13" hidden="1" customWidth="1"/>
    <col min="23" max="16384" width="9.109375" style="13" hidden="1"/>
  </cols>
  <sheetData>
    <row r="1" spans="1:11" x14ac:dyDescent="0.3"/>
    <row r="2" spans="1:11" x14ac:dyDescent="0.3"/>
    <row r="3" spans="1:11" ht="21" x14ac:dyDescent="0.4">
      <c r="A3" s="66" t="s">
        <v>275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x14ac:dyDescent="0.3"/>
    <row r="5" spans="1:11" ht="36" x14ac:dyDescent="0.3">
      <c r="A5" s="21" t="s">
        <v>273</v>
      </c>
      <c r="B5" s="21" t="s">
        <v>268</v>
      </c>
      <c r="C5" s="21" t="s">
        <v>1</v>
      </c>
      <c r="D5" s="21" t="s">
        <v>97</v>
      </c>
      <c r="E5" s="21" t="s">
        <v>265</v>
      </c>
      <c r="F5" s="21" t="s">
        <v>266</v>
      </c>
      <c r="G5" s="21" t="s">
        <v>95</v>
      </c>
      <c r="H5" s="21" t="s">
        <v>2</v>
      </c>
      <c r="I5" s="21" t="s">
        <v>3</v>
      </c>
      <c r="J5" s="22" t="s">
        <v>267</v>
      </c>
    </row>
    <row r="6" spans="1:11" x14ac:dyDescent="0.3">
      <c r="A6" s="23">
        <v>1</v>
      </c>
      <c r="B6" s="24">
        <v>44225</v>
      </c>
      <c r="C6" s="25" t="s">
        <v>260</v>
      </c>
      <c r="D6" s="26" t="s">
        <v>102</v>
      </c>
      <c r="E6" s="26" t="s">
        <v>170</v>
      </c>
      <c r="F6" s="26" t="s">
        <v>187</v>
      </c>
      <c r="G6" s="27">
        <v>476</v>
      </c>
      <c r="H6" s="25" t="s">
        <v>5</v>
      </c>
      <c r="I6" s="25" t="s">
        <v>8</v>
      </c>
      <c r="J6" s="28">
        <v>0.87223574793304903</v>
      </c>
    </row>
    <row r="7" spans="1:11" x14ac:dyDescent="0.3">
      <c r="A7" s="23">
        <v>2</v>
      </c>
      <c r="B7" s="24">
        <v>44231</v>
      </c>
      <c r="C7" s="25" t="s">
        <v>232</v>
      </c>
      <c r="D7" s="26" t="s">
        <v>106</v>
      </c>
      <c r="E7" s="26" t="s">
        <v>176</v>
      </c>
      <c r="F7" s="26" t="s">
        <v>193</v>
      </c>
      <c r="G7" s="27">
        <v>400</v>
      </c>
      <c r="H7" s="25" t="s">
        <v>5</v>
      </c>
      <c r="I7" s="25" t="s">
        <v>8</v>
      </c>
      <c r="J7" s="28">
        <v>0.7856715682505</v>
      </c>
    </row>
    <row r="8" spans="1:11" x14ac:dyDescent="0.3">
      <c r="A8" s="23">
        <v>3</v>
      </c>
      <c r="B8" s="24">
        <v>44441</v>
      </c>
      <c r="C8" s="25" t="s">
        <v>261</v>
      </c>
      <c r="D8" s="26" t="s">
        <v>159</v>
      </c>
      <c r="E8" s="26" t="s">
        <v>184</v>
      </c>
      <c r="F8" s="26" t="s">
        <v>197</v>
      </c>
      <c r="G8" s="27">
        <v>476</v>
      </c>
      <c r="H8" s="25" t="s">
        <v>5</v>
      </c>
      <c r="I8" s="25" t="s">
        <v>8</v>
      </c>
      <c r="J8" s="28">
        <v>0.68962028059893499</v>
      </c>
    </row>
    <row r="9" spans="1:11" x14ac:dyDescent="0.3">
      <c r="A9" s="23">
        <v>4</v>
      </c>
      <c r="B9" s="24">
        <v>44315</v>
      </c>
      <c r="C9" s="25" t="s">
        <v>208</v>
      </c>
      <c r="D9" s="26" t="s">
        <v>128</v>
      </c>
      <c r="E9" s="26" t="s">
        <v>166</v>
      </c>
      <c r="F9" s="26" t="s">
        <v>167</v>
      </c>
      <c r="G9" s="27">
        <v>400</v>
      </c>
      <c r="H9" s="25" t="s">
        <v>11</v>
      </c>
      <c r="I9" s="25" t="s">
        <v>8</v>
      </c>
      <c r="J9" s="28">
        <v>0.60202020202020101</v>
      </c>
    </row>
    <row r="10" spans="1:11" x14ac:dyDescent="0.3">
      <c r="A10" s="23">
        <v>5</v>
      </c>
      <c r="B10" s="24">
        <v>44405</v>
      </c>
      <c r="C10" s="25" t="s">
        <v>204</v>
      </c>
      <c r="D10" s="26" t="s">
        <v>151</v>
      </c>
      <c r="E10" s="26" t="s">
        <v>172</v>
      </c>
      <c r="F10" s="26" t="s">
        <v>173</v>
      </c>
      <c r="G10" s="27">
        <v>400</v>
      </c>
      <c r="H10" s="25" t="s">
        <v>5</v>
      </c>
      <c r="I10" s="25" t="s">
        <v>8</v>
      </c>
      <c r="J10" s="28">
        <v>0.57899734469620701</v>
      </c>
    </row>
    <row r="11" spans="1:11" x14ac:dyDescent="0.3">
      <c r="A11" s="23">
        <v>6</v>
      </c>
      <c r="B11" s="24">
        <v>44312</v>
      </c>
      <c r="C11" s="25" t="s">
        <v>227</v>
      </c>
      <c r="D11" s="26" t="s">
        <v>127</v>
      </c>
      <c r="E11" s="26" t="s">
        <v>172</v>
      </c>
      <c r="F11" s="26" t="s">
        <v>191</v>
      </c>
      <c r="G11" s="27">
        <v>400</v>
      </c>
      <c r="H11" s="25" t="s">
        <v>5</v>
      </c>
      <c r="I11" s="25" t="s">
        <v>8</v>
      </c>
      <c r="J11" s="28">
        <v>0.33756213205041902</v>
      </c>
    </row>
    <row r="12" spans="1:11" x14ac:dyDescent="0.3">
      <c r="A12" s="23">
        <v>7</v>
      </c>
      <c r="B12" s="24">
        <v>44235</v>
      </c>
      <c r="C12" s="25" t="s">
        <v>233</v>
      </c>
      <c r="D12" s="26" t="s">
        <v>110</v>
      </c>
      <c r="E12" s="26" t="s">
        <v>166</v>
      </c>
      <c r="F12" s="26" t="s">
        <v>194</v>
      </c>
      <c r="G12" s="27">
        <v>400</v>
      </c>
      <c r="H12" s="25" t="s">
        <v>5</v>
      </c>
      <c r="I12" s="25" t="s">
        <v>8</v>
      </c>
      <c r="J12" s="28">
        <v>0.295653451045224</v>
      </c>
    </row>
    <row r="13" spans="1:11" x14ac:dyDescent="0.3">
      <c r="A13" s="23">
        <v>8</v>
      </c>
      <c r="B13" s="24">
        <v>44321</v>
      </c>
      <c r="C13" s="25" t="s">
        <v>249</v>
      </c>
      <c r="D13" s="26" t="s">
        <v>132</v>
      </c>
      <c r="E13" s="26" t="s">
        <v>165</v>
      </c>
      <c r="F13" s="26" t="s">
        <v>165</v>
      </c>
      <c r="G13" s="27">
        <v>400</v>
      </c>
      <c r="H13" s="25" t="s">
        <v>11</v>
      </c>
      <c r="I13" s="25" t="s">
        <v>8</v>
      </c>
      <c r="J13" s="28">
        <v>0.26779661016949102</v>
      </c>
    </row>
    <row r="14" spans="1:11" x14ac:dyDescent="0.3">
      <c r="A14" s="23">
        <v>9</v>
      </c>
      <c r="B14" s="24">
        <v>44244</v>
      </c>
      <c r="C14" s="25" t="s">
        <v>248</v>
      </c>
      <c r="D14" s="26" t="s">
        <v>116</v>
      </c>
      <c r="E14" s="26" t="s">
        <v>168</v>
      </c>
      <c r="F14" s="26" t="s">
        <v>195</v>
      </c>
      <c r="G14" s="27">
        <v>400</v>
      </c>
      <c r="H14" s="25" t="s">
        <v>5</v>
      </c>
      <c r="I14" s="25" t="s">
        <v>8</v>
      </c>
      <c r="J14" s="28">
        <v>0.222727272727272</v>
      </c>
    </row>
    <row r="15" spans="1:11" x14ac:dyDescent="0.3">
      <c r="A15" s="23">
        <v>10</v>
      </c>
      <c r="B15" s="24">
        <v>44392</v>
      </c>
      <c r="C15" s="25" t="s">
        <v>214</v>
      </c>
      <c r="D15" s="26" t="s">
        <v>145</v>
      </c>
      <c r="E15" s="26" t="s">
        <v>184</v>
      </c>
      <c r="F15" s="26" t="s">
        <v>185</v>
      </c>
      <c r="G15" s="27">
        <v>400</v>
      </c>
      <c r="H15" s="25" t="s">
        <v>5</v>
      </c>
      <c r="I15" s="25" t="s">
        <v>8</v>
      </c>
      <c r="J15" s="28">
        <v>0.220535714285714</v>
      </c>
    </row>
    <row r="16" spans="1:11" x14ac:dyDescent="0.3">
      <c r="B16" s="34"/>
      <c r="C16" s="35"/>
      <c r="G16" s="36"/>
      <c r="H16" s="35"/>
      <c r="I16" s="35"/>
      <c r="J16" s="37"/>
    </row>
    <row r="17" spans="1:11" x14ac:dyDescent="0.3">
      <c r="B17" s="38"/>
      <c r="C17" s="39"/>
      <c r="G17" s="36"/>
      <c r="H17" s="39"/>
      <c r="I17" s="39"/>
      <c r="J17" s="37"/>
    </row>
    <row r="18" spans="1:11" ht="21" x14ac:dyDescent="0.4">
      <c r="A18" s="62" t="s">
        <v>274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3">
      <c r="B19" s="40"/>
      <c r="C19" s="41"/>
      <c r="G19" s="36"/>
      <c r="H19" s="41"/>
      <c r="I19" s="41"/>
      <c r="J19" s="37"/>
    </row>
    <row r="20" spans="1:11" ht="36" x14ac:dyDescent="0.3">
      <c r="A20" s="29" t="s">
        <v>273</v>
      </c>
      <c r="B20" s="29" t="s">
        <v>268</v>
      </c>
      <c r="C20" s="29" t="s">
        <v>1</v>
      </c>
      <c r="D20" s="29" t="s">
        <v>97</v>
      </c>
      <c r="E20" s="29" t="s">
        <v>265</v>
      </c>
      <c r="F20" s="29" t="s">
        <v>266</v>
      </c>
      <c r="G20" s="29" t="s">
        <v>95</v>
      </c>
      <c r="H20" s="29" t="s">
        <v>2</v>
      </c>
      <c r="I20" s="29" t="s">
        <v>3</v>
      </c>
      <c r="J20" s="29" t="s">
        <v>19</v>
      </c>
      <c r="K20" s="29" t="s">
        <v>4</v>
      </c>
    </row>
    <row r="21" spans="1:11" x14ac:dyDescent="0.3">
      <c r="A21" s="23">
        <v>1</v>
      </c>
      <c r="B21" s="24">
        <v>44412</v>
      </c>
      <c r="C21" s="25" t="s">
        <v>252</v>
      </c>
      <c r="D21" s="26" t="s">
        <v>155</v>
      </c>
      <c r="E21" s="26" t="s">
        <v>166</v>
      </c>
      <c r="F21" s="26" t="s">
        <v>167</v>
      </c>
      <c r="G21" s="27">
        <v>400</v>
      </c>
      <c r="H21" s="25" t="s">
        <v>11</v>
      </c>
      <c r="I21" s="25" t="s">
        <v>14</v>
      </c>
      <c r="J21" s="30">
        <v>7.4</v>
      </c>
      <c r="K21" s="31">
        <v>6900001610</v>
      </c>
    </row>
    <row r="22" spans="1:11" x14ac:dyDescent="0.3">
      <c r="A22" s="23">
        <v>2</v>
      </c>
      <c r="B22" s="24">
        <v>44245</v>
      </c>
      <c r="C22" s="25" t="s">
        <v>217</v>
      </c>
      <c r="D22" s="26" t="s">
        <v>117</v>
      </c>
      <c r="E22" s="26" t="s">
        <v>184</v>
      </c>
      <c r="F22" s="26" t="s">
        <v>185</v>
      </c>
      <c r="G22" s="27">
        <v>400</v>
      </c>
      <c r="H22" s="25" t="s">
        <v>5</v>
      </c>
      <c r="I22" s="25" t="s">
        <v>8</v>
      </c>
      <c r="J22" s="30">
        <v>8.5</v>
      </c>
      <c r="K22" s="31">
        <v>5219251974</v>
      </c>
    </row>
    <row r="23" spans="1:11" x14ac:dyDescent="0.3">
      <c r="A23" s="23">
        <v>3</v>
      </c>
      <c r="B23" s="24">
        <v>44315</v>
      </c>
      <c r="C23" s="25" t="s">
        <v>213</v>
      </c>
      <c r="D23" s="26" t="s">
        <v>129</v>
      </c>
      <c r="E23" s="26" t="s">
        <v>174</v>
      </c>
      <c r="F23" s="26" t="s">
        <v>183</v>
      </c>
      <c r="G23" s="27">
        <v>400</v>
      </c>
      <c r="H23" s="25" t="s">
        <v>12</v>
      </c>
      <c r="I23" s="25" t="s">
        <v>8</v>
      </c>
      <c r="J23" s="30">
        <v>9.67</v>
      </c>
      <c r="K23" s="31">
        <v>5004225000</v>
      </c>
    </row>
    <row r="24" spans="1:11" x14ac:dyDescent="0.3">
      <c r="A24" s="23">
        <v>4</v>
      </c>
      <c r="B24" s="24">
        <v>44418</v>
      </c>
      <c r="C24" s="25" t="s">
        <v>247</v>
      </c>
      <c r="D24" s="26" t="s">
        <v>157</v>
      </c>
      <c r="E24" s="26" t="s">
        <v>178</v>
      </c>
      <c r="F24" s="26" t="s">
        <v>188</v>
      </c>
      <c r="G24" s="27">
        <v>400</v>
      </c>
      <c r="H24" s="25" t="s">
        <v>5</v>
      </c>
      <c r="I24" s="25" t="s">
        <v>8</v>
      </c>
      <c r="J24" s="30">
        <v>19.75</v>
      </c>
      <c r="K24" s="31">
        <v>3067874821.5</v>
      </c>
    </row>
    <row r="25" spans="1:11" x14ac:dyDescent="0.3">
      <c r="A25" s="23">
        <v>5</v>
      </c>
      <c r="B25" s="24">
        <v>44391</v>
      </c>
      <c r="C25" s="25" t="s">
        <v>256</v>
      </c>
      <c r="D25" s="26" t="s">
        <v>144</v>
      </c>
      <c r="E25" s="26" t="s">
        <v>170</v>
      </c>
      <c r="F25" s="26" t="s">
        <v>196</v>
      </c>
      <c r="G25" s="27">
        <v>400</v>
      </c>
      <c r="H25" s="25" t="s">
        <v>11</v>
      </c>
      <c r="I25" s="25" t="s">
        <v>8</v>
      </c>
      <c r="J25" s="30">
        <v>23</v>
      </c>
      <c r="K25" s="31">
        <v>2645000000</v>
      </c>
    </row>
    <row r="26" spans="1:11" x14ac:dyDescent="0.3">
      <c r="A26" s="23">
        <v>6</v>
      </c>
      <c r="B26" s="24">
        <v>44228</v>
      </c>
      <c r="C26" s="25" t="s">
        <v>223</v>
      </c>
      <c r="D26" s="26" t="s">
        <v>104</v>
      </c>
      <c r="E26" s="26" t="s">
        <v>170</v>
      </c>
      <c r="F26" s="26" t="s">
        <v>171</v>
      </c>
      <c r="G26" s="27">
        <v>400</v>
      </c>
      <c r="H26" s="25" t="s">
        <v>5</v>
      </c>
      <c r="I26" s="25" t="s">
        <v>8</v>
      </c>
      <c r="J26" s="30">
        <v>17.899999999999999</v>
      </c>
      <c r="K26" s="31">
        <v>2641623252.1999998</v>
      </c>
    </row>
    <row r="27" spans="1:11" x14ac:dyDescent="0.3">
      <c r="A27" s="23">
        <v>7</v>
      </c>
      <c r="B27" s="24">
        <v>44312</v>
      </c>
      <c r="C27" s="25" t="s">
        <v>227</v>
      </c>
      <c r="D27" s="26" t="s">
        <v>127</v>
      </c>
      <c r="E27" s="26" t="s">
        <v>172</v>
      </c>
      <c r="F27" s="26" t="s">
        <v>191</v>
      </c>
      <c r="G27" s="27">
        <v>400</v>
      </c>
      <c r="H27" s="25" t="s">
        <v>5</v>
      </c>
      <c r="I27" s="25" t="s">
        <v>8</v>
      </c>
      <c r="J27" s="30">
        <v>12</v>
      </c>
      <c r="K27" s="31">
        <v>2489177484</v>
      </c>
    </row>
    <row r="28" spans="1:11" x14ac:dyDescent="0.3">
      <c r="A28" s="23">
        <v>8</v>
      </c>
      <c r="B28" s="24">
        <v>44399</v>
      </c>
      <c r="C28" s="25" t="s">
        <v>244</v>
      </c>
      <c r="D28" s="26" t="s">
        <v>149</v>
      </c>
      <c r="E28" s="26" t="s">
        <v>176</v>
      </c>
      <c r="F28" s="26" t="s">
        <v>193</v>
      </c>
      <c r="G28" s="27">
        <v>400</v>
      </c>
      <c r="H28" s="25" t="s">
        <v>11</v>
      </c>
      <c r="I28" s="25" t="s">
        <v>8</v>
      </c>
      <c r="J28" s="30">
        <v>11.1</v>
      </c>
      <c r="K28" s="31">
        <v>2199578475.3000002</v>
      </c>
    </row>
    <row r="29" spans="1:11" x14ac:dyDescent="0.3">
      <c r="A29" s="23">
        <v>9</v>
      </c>
      <c r="B29" s="24">
        <v>44417</v>
      </c>
      <c r="C29" s="25" t="s">
        <v>262</v>
      </c>
      <c r="D29" s="26" t="s">
        <v>156</v>
      </c>
      <c r="E29" s="26" t="s">
        <v>178</v>
      </c>
      <c r="F29" s="26" t="s">
        <v>180</v>
      </c>
      <c r="G29" s="27">
        <v>476</v>
      </c>
      <c r="H29" s="25" t="s">
        <v>5</v>
      </c>
      <c r="I29" s="25" t="s">
        <v>8</v>
      </c>
      <c r="J29" s="30">
        <v>19.920000000000002</v>
      </c>
      <c r="K29" s="31">
        <v>1943506214.1599998</v>
      </c>
    </row>
    <row r="30" spans="1:11" x14ac:dyDescent="0.3">
      <c r="A30" s="23">
        <v>10</v>
      </c>
      <c r="B30" s="24">
        <v>44302</v>
      </c>
      <c r="C30" s="25" t="s">
        <v>239</v>
      </c>
      <c r="D30" s="26" t="s">
        <v>124</v>
      </c>
      <c r="E30" s="26" t="s">
        <v>178</v>
      </c>
      <c r="F30" s="26" t="s">
        <v>188</v>
      </c>
      <c r="G30" s="27">
        <v>400</v>
      </c>
      <c r="H30" s="25" t="s">
        <v>5</v>
      </c>
      <c r="I30" s="25" t="s">
        <v>8</v>
      </c>
      <c r="J30" s="30">
        <v>17.440000000000001</v>
      </c>
      <c r="K30" s="31">
        <v>1618399980.1600001</v>
      </c>
    </row>
    <row r="31" spans="1:11" x14ac:dyDescent="0.3"/>
    <row r="32" spans="1:11" x14ac:dyDescent="0.3"/>
  </sheetData>
  <mergeCells count="2">
    <mergeCell ref="A3:K3"/>
    <mergeCell ref="A18:K1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zoomScaleNormal="100" workbookViewId="0">
      <selection activeCell="A9" sqref="A4:XFD9"/>
    </sheetView>
  </sheetViews>
  <sheetFormatPr defaultColWidth="0" defaultRowHeight="14.4" zeroHeight="1" x14ac:dyDescent="0.3"/>
  <cols>
    <col min="1" max="1" width="10.6640625" bestFit="1" customWidth="1"/>
    <col min="2" max="2" width="21.44140625" bestFit="1" customWidth="1"/>
    <col min="3" max="3" width="18" bestFit="1" customWidth="1"/>
    <col min="4" max="4" width="8.33203125" bestFit="1" customWidth="1"/>
    <col min="5" max="5" width="30" bestFit="1" customWidth="1"/>
    <col min="6" max="6" width="38.44140625" bestFit="1" customWidth="1"/>
    <col min="7" max="7" width="11.6640625" customWidth="1"/>
    <col min="8" max="8" width="10" bestFit="1" customWidth="1"/>
    <col min="9" max="9" width="8" bestFit="1" customWidth="1"/>
    <col min="10" max="10" width="12.6640625" customWidth="1"/>
    <col min="11" max="11" width="10.6640625" customWidth="1"/>
    <col min="12" max="12" width="18.5546875" customWidth="1"/>
    <col min="13" max="13" width="37.109375" customWidth="1"/>
    <col min="14" max="14" width="6.5546875" bestFit="1" customWidth="1"/>
    <col min="15" max="15" width="15" bestFit="1" customWidth="1"/>
    <col min="16" max="16" width="10.33203125" style="8" customWidth="1"/>
    <col min="17" max="16384" width="9.109375" hidden="1"/>
  </cols>
  <sheetData>
    <row r="1" spans="1:16" x14ac:dyDescent="0.3"/>
    <row r="2" spans="1:16" x14ac:dyDescent="0.3"/>
    <row r="3" spans="1:16" x14ac:dyDescent="0.3"/>
    <row r="4" spans="1:16" x14ac:dyDescent="0.3"/>
    <row r="5" spans="1:16" ht="36" x14ac:dyDescent="0.3">
      <c r="A5" s="9" t="s">
        <v>269</v>
      </c>
      <c r="B5" s="9" t="s">
        <v>1</v>
      </c>
      <c r="C5" s="9" t="s">
        <v>18</v>
      </c>
      <c r="D5" s="9" t="s">
        <v>97</v>
      </c>
      <c r="E5" s="9" t="s">
        <v>265</v>
      </c>
      <c r="F5" s="9" t="s">
        <v>266</v>
      </c>
      <c r="G5" s="9" t="s">
        <v>95</v>
      </c>
      <c r="H5" s="9" t="s">
        <v>2</v>
      </c>
      <c r="I5" s="9" t="s">
        <v>16</v>
      </c>
      <c r="J5" s="9" t="s">
        <v>268</v>
      </c>
      <c r="K5" s="9" t="s">
        <v>277</v>
      </c>
      <c r="L5" s="9" t="s">
        <v>3</v>
      </c>
      <c r="M5" s="10" t="s">
        <v>0</v>
      </c>
      <c r="N5" s="9" t="s">
        <v>19</v>
      </c>
      <c r="O5" s="9" t="s">
        <v>4</v>
      </c>
      <c r="P5" s="11" t="s">
        <v>267</v>
      </c>
    </row>
    <row r="6" spans="1:16" x14ac:dyDescent="0.3">
      <c r="A6" s="4">
        <v>44203</v>
      </c>
      <c r="B6" s="2" t="s">
        <v>235</v>
      </c>
      <c r="C6" t="s">
        <v>20</v>
      </c>
      <c r="D6" t="s">
        <v>98</v>
      </c>
      <c r="E6" t="s">
        <v>168</v>
      </c>
      <c r="F6" t="s">
        <v>169</v>
      </c>
      <c r="G6" s="7">
        <v>476</v>
      </c>
      <c r="H6" s="2" t="s">
        <v>5</v>
      </c>
      <c r="I6" s="2" t="s">
        <v>7</v>
      </c>
      <c r="J6" s="4">
        <v>44217</v>
      </c>
      <c r="K6" s="12">
        <v>1</v>
      </c>
      <c r="L6" s="2" t="s">
        <v>8</v>
      </c>
      <c r="M6" s="2" t="s">
        <v>17</v>
      </c>
      <c r="N6" s="5">
        <v>20</v>
      </c>
      <c r="O6" s="3">
        <v>2744850560</v>
      </c>
      <c r="P6" s="8">
        <v>-0.50434853399935897</v>
      </c>
    </row>
    <row r="7" spans="1:16" x14ac:dyDescent="0.3">
      <c r="A7" s="4">
        <v>44207</v>
      </c>
      <c r="B7" s="2" t="s">
        <v>230</v>
      </c>
      <c r="C7" t="s">
        <v>22</v>
      </c>
      <c r="D7" t="s">
        <v>99</v>
      </c>
      <c r="E7" t="s">
        <v>174</v>
      </c>
      <c r="F7" t="s">
        <v>192</v>
      </c>
      <c r="G7" s="7">
        <v>476</v>
      </c>
      <c r="H7" s="2" t="s">
        <v>11</v>
      </c>
      <c r="I7" s="2" t="s">
        <v>6</v>
      </c>
      <c r="J7" s="4">
        <v>44217</v>
      </c>
      <c r="K7" s="12">
        <v>1</v>
      </c>
      <c r="L7" s="2" t="s">
        <v>8</v>
      </c>
      <c r="M7" s="2" t="s">
        <v>21</v>
      </c>
      <c r="N7" s="5">
        <v>19.100000000000001</v>
      </c>
      <c r="O7" s="3">
        <v>802582000</v>
      </c>
      <c r="P7" s="8">
        <v>-0.53926701570680602</v>
      </c>
    </row>
    <row r="8" spans="1:16" x14ac:dyDescent="0.3">
      <c r="A8" s="4">
        <v>44215</v>
      </c>
      <c r="B8" s="2" t="s">
        <v>260</v>
      </c>
      <c r="C8" t="s">
        <v>25</v>
      </c>
      <c r="D8" t="s">
        <v>102</v>
      </c>
      <c r="E8" t="s">
        <v>170</v>
      </c>
      <c r="F8" t="s">
        <v>187</v>
      </c>
      <c r="G8" s="7">
        <v>476</v>
      </c>
      <c r="H8" s="2" t="s">
        <v>5</v>
      </c>
      <c r="I8" s="2" t="s">
        <v>6</v>
      </c>
      <c r="J8" s="4">
        <v>44225</v>
      </c>
      <c r="K8" s="12">
        <v>1</v>
      </c>
      <c r="L8" s="2" t="s">
        <v>8</v>
      </c>
      <c r="M8" s="2" t="s">
        <v>23</v>
      </c>
      <c r="N8" s="5">
        <v>26</v>
      </c>
      <c r="O8" s="3">
        <v>1304744480</v>
      </c>
      <c r="P8" s="8">
        <v>0.87223574793304903</v>
      </c>
    </row>
    <row r="9" spans="1:16" x14ac:dyDescent="0.3">
      <c r="A9" s="4">
        <v>44215</v>
      </c>
      <c r="B9" s="2" t="s">
        <v>250</v>
      </c>
      <c r="C9" t="s">
        <v>24</v>
      </c>
      <c r="D9" t="s">
        <v>101</v>
      </c>
      <c r="E9" t="s">
        <v>165</v>
      </c>
      <c r="F9" t="s">
        <v>165</v>
      </c>
      <c r="G9" s="7">
        <v>476</v>
      </c>
      <c r="H9" s="2" t="s">
        <v>11</v>
      </c>
      <c r="I9" s="2" t="s">
        <v>7</v>
      </c>
      <c r="J9" s="4">
        <v>44228</v>
      </c>
      <c r="K9" s="12">
        <v>2</v>
      </c>
      <c r="L9" s="2" t="s">
        <v>8</v>
      </c>
      <c r="M9" s="2" t="s">
        <v>23</v>
      </c>
      <c r="N9" s="5">
        <v>69</v>
      </c>
      <c r="O9" s="3">
        <v>2049300000</v>
      </c>
      <c r="P9" s="8">
        <v>0.47243197036614898</v>
      </c>
    </row>
    <row r="10" spans="1:16" x14ac:dyDescent="0.3">
      <c r="A10" s="4">
        <v>44225</v>
      </c>
      <c r="B10" s="2" t="s">
        <v>223</v>
      </c>
      <c r="C10" t="s">
        <v>79</v>
      </c>
      <c r="D10" t="s">
        <v>104</v>
      </c>
      <c r="E10" t="s">
        <v>170</v>
      </c>
      <c r="F10" t="s">
        <v>171</v>
      </c>
      <c r="G10" s="7">
        <v>400</v>
      </c>
      <c r="H10" s="2" t="s">
        <v>5</v>
      </c>
      <c r="I10" s="2" t="s">
        <v>6</v>
      </c>
      <c r="J10" s="4">
        <v>44228</v>
      </c>
      <c r="K10" s="12">
        <v>2</v>
      </c>
      <c r="L10" s="2" t="s">
        <v>8</v>
      </c>
      <c r="M10" s="2" t="s">
        <v>17</v>
      </c>
      <c r="N10" s="5">
        <v>17.899999999999999</v>
      </c>
      <c r="O10" s="3">
        <v>2641623252.1999998</v>
      </c>
      <c r="P10" s="8">
        <v>-0.53149699395785299</v>
      </c>
    </row>
    <row r="11" spans="1:16" x14ac:dyDescent="0.3">
      <c r="A11" s="4">
        <v>44218</v>
      </c>
      <c r="B11" s="2" t="s">
        <v>296</v>
      </c>
      <c r="C11" t="s">
        <v>26</v>
      </c>
      <c r="D11" t="s">
        <v>295</v>
      </c>
      <c r="E11" t="s">
        <v>168</v>
      </c>
      <c r="F11" t="s">
        <v>169</v>
      </c>
      <c r="G11" s="7">
        <v>476</v>
      </c>
      <c r="H11" s="2" t="s">
        <v>12</v>
      </c>
      <c r="I11" s="2" t="s">
        <v>7</v>
      </c>
      <c r="J11" s="4">
        <v>44229</v>
      </c>
      <c r="K11" s="12">
        <v>2</v>
      </c>
      <c r="L11" s="2" t="s">
        <v>8</v>
      </c>
      <c r="M11" s="2" t="s">
        <v>17</v>
      </c>
      <c r="N11" s="5">
        <v>39</v>
      </c>
      <c r="O11" s="3">
        <v>954719922</v>
      </c>
      <c r="P11" s="8">
        <v>-0.31689791873141698</v>
      </c>
    </row>
    <row r="12" spans="1:16" x14ac:dyDescent="0.3">
      <c r="A12" s="4">
        <v>44230</v>
      </c>
      <c r="B12" s="2" t="s">
        <v>232</v>
      </c>
      <c r="C12" t="s">
        <v>58</v>
      </c>
      <c r="D12" t="s">
        <v>106</v>
      </c>
      <c r="E12" t="s">
        <v>176</v>
      </c>
      <c r="F12" t="s">
        <v>193</v>
      </c>
      <c r="G12" s="7">
        <v>400</v>
      </c>
      <c r="H12" s="2" t="s">
        <v>5</v>
      </c>
      <c r="I12" s="2" t="s">
        <v>6</v>
      </c>
      <c r="J12" s="4">
        <v>44231</v>
      </c>
      <c r="K12" s="12">
        <v>2</v>
      </c>
      <c r="L12" s="2" t="s">
        <v>8</v>
      </c>
      <c r="M12" s="2" t="s">
        <v>23</v>
      </c>
      <c r="N12" s="5">
        <v>15.75</v>
      </c>
      <c r="O12" s="3">
        <v>1304100000</v>
      </c>
      <c r="P12" s="8">
        <v>0.7856715682505</v>
      </c>
    </row>
    <row r="13" spans="1:16" x14ac:dyDescent="0.3">
      <c r="A13" s="4">
        <v>44221</v>
      </c>
      <c r="B13" s="2" t="s">
        <v>210</v>
      </c>
      <c r="C13" t="s">
        <v>27</v>
      </c>
      <c r="D13" t="s">
        <v>103</v>
      </c>
      <c r="E13" t="s">
        <v>166</v>
      </c>
      <c r="F13" t="s">
        <v>167</v>
      </c>
      <c r="G13" s="7">
        <v>476</v>
      </c>
      <c r="H13" s="2" t="s">
        <v>5</v>
      </c>
      <c r="I13" s="2" t="s">
        <v>7</v>
      </c>
      <c r="J13" s="4">
        <v>44232</v>
      </c>
      <c r="K13" s="12">
        <v>2</v>
      </c>
      <c r="L13" s="2" t="s">
        <v>8</v>
      </c>
      <c r="M13" s="2" t="s">
        <v>23</v>
      </c>
      <c r="N13" s="5">
        <v>22</v>
      </c>
      <c r="O13" s="3">
        <v>500177810</v>
      </c>
      <c r="P13" s="8">
        <v>0.26655384891106698</v>
      </c>
    </row>
    <row r="14" spans="1:16" x14ac:dyDescent="0.3">
      <c r="A14" s="4">
        <v>44231</v>
      </c>
      <c r="B14" s="2" t="s">
        <v>243</v>
      </c>
      <c r="C14" t="s">
        <v>80</v>
      </c>
      <c r="D14" t="s">
        <v>107</v>
      </c>
      <c r="E14" t="s">
        <v>176</v>
      </c>
      <c r="F14" t="s">
        <v>177</v>
      </c>
      <c r="G14" s="7">
        <v>400</v>
      </c>
      <c r="H14" s="2" t="s">
        <v>5</v>
      </c>
      <c r="I14" s="2" t="s">
        <v>6</v>
      </c>
      <c r="J14" s="4">
        <v>44232</v>
      </c>
      <c r="K14" s="12">
        <v>2</v>
      </c>
      <c r="L14" s="2" t="s">
        <v>8</v>
      </c>
      <c r="M14" s="2" t="s">
        <v>23</v>
      </c>
      <c r="N14" s="5">
        <v>19.8</v>
      </c>
      <c r="O14" s="3">
        <v>1215000111.5999999</v>
      </c>
      <c r="P14" s="8">
        <v>-0.56715536094978103</v>
      </c>
    </row>
    <row r="15" spans="1:16" x14ac:dyDescent="0.3">
      <c r="A15" s="4">
        <v>44231</v>
      </c>
      <c r="B15" s="2" t="s">
        <v>241</v>
      </c>
      <c r="C15" t="s">
        <v>59</v>
      </c>
      <c r="D15" t="s">
        <v>108</v>
      </c>
      <c r="E15" t="s">
        <v>176</v>
      </c>
      <c r="F15" t="s">
        <v>177</v>
      </c>
      <c r="G15" s="7">
        <v>400</v>
      </c>
      <c r="H15" s="2" t="s">
        <v>5</v>
      </c>
      <c r="I15" s="2" t="s">
        <v>6</v>
      </c>
      <c r="J15" s="4">
        <v>44232</v>
      </c>
      <c r="K15" s="12">
        <v>2</v>
      </c>
      <c r="L15" s="2" t="s">
        <v>8</v>
      </c>
      <c r="M15" s="2" t="s">
        <v>9</v>
      </c>
      <c r="N15" s="5">
        <v>21</v>
      </c>
      <c r="O15" s="3">
        <v>933333345</v>
      </c>
      <c r="P15" s="8">
        <v>-0.76761904761904698</v>
      </c>
    </row>
    <row r="16" spans="1:16" x14ac:dyDescent="0.3">
      <c r="A16" s="4">
        <v>44232</v>
      </c>
      <c r="B16" s="2" t="s">
        <v>224</v>
      </c>
      <c r="C16" t="s">
        <v>81</v>
      </c>
      <c r="D16" t="s">
        <v>109</v>
      </c>
      <c r="E16" t="s">
        <v>168</v>
      </c>
      <c r="F16" t="s">
        <v>169</v>
      </c>
      <c r="G16" s="7">
        <v>400</v>
      </c>
      <c r="H16" s="2" t="s">
        <v>5</v>
      </c>
      <c r="I16" s="2" t="s">
        <v>6</v>
      </c>
      <c r="J16" s="4">
        <v>44235</v>
      </c>
      <c r="K16" s="12">
        <v>2</v>
      </c>
      <c r="L16" s="2" t="s">
        <v>8</v>
      </c>
      <c r="M16" s="2" t="s">
        <v>9</v>
      </c>
      <c r="N16" s="5">
        <v>18.02</v>
      </c>
      <c r="O16" s="3">
        <v>887399981.63999999</v>
      </c>
      <c r="P16" s="8">
        <v>-0.40914996573165102</v>
      </c>
    </row>
    <row r="17" spans="1:16" x14ac:dyDescent="0.3">
      <c r="A17" s="4">
        <v>44232</v>
      </c>
      <c r="B17" s="2" t="s">
        <v>233</v>
      </c>
      <c r="C17" t="s">
        <v>82</v>
      </c>
      <c r="D17" t="s">
        <v>110</v>
      </c>
      <c r="E17" t="s">
        <v>166</v>
      </c>
      <c r="F17" t="s">
        <v>194</v>
      </c>
      <c r="G17" s="7">
        <v>400</v>
      </c>
      <c r="H17" s="2" t="s">
        <v>5</v>
      </c>
      <c r="I17" s="2" t="s">
        <v>6</v>
      </c>
      <c r="J17" s="4">
        <v>44235</v>
      </c>
      <c r="K17" s="12">
        <v>2</v>
      </c>
      <c r="L17" s="2" t="s">
        <v>8</v>
      </c>
      <c r="M17" s="2" t="s">
        <v>10</v>
      </c>
      <c r="N17" s="5">
        <v>8.3000000000000007</v>
      </c>
      <c r="O17" s="3">
        <v>737777770.39999998</v>
      </c>
      <c r="P17" s="8">
        <v>0.295653451045224</v>
      </c>
    </row>
    <row r="18" spans="1:16" x14ac:dyDescent="0.3">
      <c r="A18" s="4">
        <v>44236</v>
      </c>
      <c r="B18" s="2" t="s">
        <v>206</v>
      </c>
      <c r="C18" t="s">
        <v>60</v>
      </c>
      <c r="D18" t="s">
        <v>111</v>
      </c>
      <c r="E18" t="s">
        <v>176</v>
      </c>
      <c r="F18" t="s">
        <v>177</v>
      </c>
      <c r="G18" s="7">
        <v>400</v>
      </c>
      <c r="H18" s="2" t="s">
        <v>5</v>
      </c>
      <c r="I18" s="2" t="s">
        <v>6</v>
      </c>
      <c r="J18" s="4">
        <v>44237</v>
      </c>
      <c r="K18" s="12">
        <v>2</v>
      </c>
      <c r="L18" s="2" t="s">
        <v>8</v>
      </c>
      <c r="M18" s="2" t="s">
        <v>23</v>
      </c>
      <c r="N18" s="5">
        <v>22</v>
      </c>
      <c r="O18" s="3">
        <v>1258235330</v>
      </c>
      <c r="P18" s="8">
        <v>-0.30772727272727202</v>
      </c>
    </row>
    <row r="19" spans="1:16" x14ac:dyDescent="0.3">
      <c r="A19" s="4">
        <v>44237</v>
      </c>
      <c r="B19" s="2" t="s">
        <v>264</v>
      </c>
      <c r="C19" t="s">
        <v>61</v>
      </c>
      <c r="D19" t="s">
        <v>113</v>
      </c>
      <c r="E19" t="s">
        <v>176</v>
      </c>
      <c r="F19" t="s">
        <v>177</v>
      </c>
      <c r="G19" s="7">
        <v>400</v>
      </c>
      <c r="H19" s="2" t="s">
        <v>5</v>
      </c>
      <c r="I19" s="2" t="s">
        <v>6</v>
      </c>
      <c r="J19" s="4">
        <v>44237</v>
      </c>
      <c r="K19" s="12">
        <v>2</v>
      </c>
      <c r="L19" s="2" t="s">
        <v>8</v>
      </c>
      <c r="M19" s="2" t="s">
        <v>23</v>
      </c>
      <c r="N19" s="5">
        <v>13</v>
      </c>
      <c r="O19" s="3">
        <v>1161794608</v>
      </c>
      <c r="P19" s="8">
        <v>-0.73076923076922995</v>
      </c>
    </row>
    <row r="20" spans="1:16" x14ac:dyDescent="0.3">
      <c r="A20" s="4">
        <v>44228</v>
      </c>
      <c r="B20" s="2" t="s">
        <v>236</v>
      </c>
      <c r="C20" t="s">
        <v>28</v>
      </c>
      <c r="D20" t="s">
        <v>105</v>
      </c>
      <c r="E20" t="s">
        <v>176</v>
      </c>
      <c r="F20" t="s">
        <v>177</v>
      </c>
      <c r="G20" s="7">
        <v>476</v>
      </c>
      <c r="H20" s="2" t="s">
        <v>5</v>
      </c>
      <c r="I20" s="2" t="s">
        <v>7</v>
      </c>
      <c r="J20" s="4">
        <v>44238</v>
      </c>
      <c r="K20" s="12">
        <v>2</v>
      </c>
      <c r="L20" s="2" t="s">
        <v>8</v>
      </c>
      <c r="M20" s="2" t="s">
        <v>17</v>
      </c>
      <c r="N20" s="5">
        <v>30</v>
      </c>
      <c r="O20" s="3">
        <v>2754000000</v>
      </c>
      <c r="P20" s="8">
        <v>-0.34584317136821102</v>
      </c>
    </row>
    <row r="21" spans="1:16" x14ac:dyDescent="0.3">
      <c r="A21" s="4">
        <v>44237</v>
      </c>
      <c r="B21" s="2" t="s">
        <v>216</v>
      </c>
      <c r="C21" t="s">
        <v>83</v>
      </c>
      <c r="D21" t="s">
        <v>112</v>
      </c>
      <c r="E21" t="s">
        <v>170</v>
      </c>
      <c r="F21" t="s">
        <v>187</v>
      </c>
      <c r="G21" s="7">
        <v>400</v>
      </c>
      <c r="H21" s="2" t="s">
        <v>5</v>
      </c>
      <c r="I21" s="2" t="s">
        <v>6</v>
      </c>
      <c r="J21" s="4">
        <v>44238</v>
      </c>
      <c r="K21" s="12">
        <v>2</v>
      </c>
      <c r="L21" s="2" t="s">
        <v>8</v>
      </c>
      <c r="M21" s="2" t="s">
        <v>23</v>
      </c>
      <c r="N21" s="5">
        <v>14</v>
      </c>
      <c r="O21" s="3">
        <v>1231650000</v>
      </c>
      <c r="P21" s="8">
        <v>-0.44122232616998303</v>
      </c>
    </row>
    <row r="22" spans="1:16" x14ac:dyDescent="0.3">
      <c r="A22" s="4">
        <v>44238</v>
      </c>
      <c r="B22" s="2" t="s">
        <v>246</v>
      </c>
      <c r="C22" t="s">
        <v>84</v>
      </c>
      <c r="D22" t="s">
        <v>114</v>
      </c>
      <c r="E22" t="s">
        <v>165</v>
      </c>
      <c r="F22" t="s">
        <v>165</v>
      </c>
      <c r="G22" s="7">
        <v>400</v>
      </c>
      <c r="H22" s="2" t="s">
        <v>5</v>
      </c>
      <c r="I22" s="2" t="s">
        <v>6</v>
      </c>
      <c r="J22" s="4">
        <v>44239</v>
      </c>
      <c r="K22" s="12">
        <v>2</v>
      </c>
      <c r="L22" s="2" t="s">
        <v>8</v>
      </c>
      <c r="M22" s="2" t="s">
        <v>17</v>
      </c>
      <c r="N22" s="5">
        <v>11.15</v>
      </c>
      <c r="O22" s="3">
        <v>1219999996</v>
      </c>
      <c r="P22" s="8">
        <v>-0.730941704035874</v>
      </c>
    </row>
    <row r="23" spans="1:16" x14ac:dyDescent="0.3">
      <c r="A23" s="4">
        <v>44239</v>
      </c>
      <c r="B23" s="2" t="s">
        <v>222</v>
      </c>
      <c r="C23" t="s">
        <v>62</v>
      </c>
      <c r="D23" t="s">
        <v>115</v>
      </c>
      <c r="E23" t="s">
        <v>181</v>
      </c>
      <c r="F23" t="s">
        <v>190</v>
      </c>
      <c r="G23" s="7">
        <v>400</v>
      </c>
      <c r="H23" s="2" t="s">
        <v>5</v>
      </c>
      <c r="I23" s="2" t="s">
        <v>6</v>
      </c>
      <c r="J23" s="4">
        <v>44244</v>
      </c>
      <c r="K23" s="12">
        <v>2</v>
      </c>
      <c r="L23" s="2" t="s">
        <v>8</v>
      </c>
      <c r="M23" s="2" t="s">
        <v>9</v>
      </c>
      <c r="N23" s="5">
        <v>17.809999999999999</v>
      </c>
      <c r="O23" s="3">
        <v>871635932.96000004</v>
      </c>
      <c r="P23" s="8">
        <v>-0.438517686692869</v>
      </c>
    </row>
    <row r="24" spans="1:16" x14ac:dyDescent="0.3">
      <c r="A24" s="4">
        <v>44239</v>
      </c>
      <c r="B24" s="2" t="s">
        <v>248</v>
      </c>
      <c r="C24" t="s">
        <v>85</v>
      </c>
      <c r="D24" t="s">
        <v>116</v>
      </c>
      <c r="E24" t="s">
        <v>168</v>
      </c>
      <c r="F24" t="s">
        <v>195</v>
      </c>
      <c r="G24" s="7">
        <v>400</v>
      </c>
      <c r="H24" s="2" t="s">
        <v>5</v>
      </c>
      <c r="I24" s="2" t="s">
        <v>6</v>
      </c>
      <c r="J24" s="4">
        <v>44244</v>
      </c>
      <c r="K24" s="12">
        <v>2</v>
      </c>
      <c r="L24" s="2" t="s">
        <v>8</v>
      </c>
      <c r="M24" s="2" t="s">
        <v>96</v>
      </c>
      <c r="N24" s="5">
        <v>22</v>
      </c>
      <c r="O24" s="3">
        <v>553954522</v>
      </c>
      <c r="P24" s="8">
        <v>0.222727272727272</v>
      </c>
    </row>
    <row r="25" spans="1:16" x14ac:dyDescent="0.3">
      <c r="A25" s="4">
        <v>44244</v>
      </c>
      <c r="B25" s="2" t="s">
        <v>217</v>
      </c>
      <c r="C25" t="s">
        <v>86</v>
      </c>
      <c r="D25" t="s">
        <v>117</v>
      </c>
      <c r="E25" t="s">
        <v>184</v>
      </c>
      <c r="F25" t="s">
        <v>185</v>
      </c>
      <c r="G25" s="7">
        <v>400</v>
      </c>
      <c r="H25" s="2" t="s">
        <v>5</v>
      </c>
      <c r="I25" s="2" t="s">
        <v>6</v>
      </c>
      <c r="J25" s="4">
        <v>44245</v>
      </c>
      <c r="K25" s="12">
        <v>2</v>
      </c>
      <c r="L25" s="2" t="s">
        <v>8</v>
      </c>
      <c r="M25" s="2" t="s">
        <v>9</v>
      </c>
      <c r="N25" s="5">
        <v>8.5</v>
      </c>
      <c r="O25" s="3">
        <v>5219251974</v>
      </c>
      <c r="P25" s="8">
        <v>-0.16245913403999501</v>
      </c>
    </row>
    <row r="26" spans="1:16" x14ac:dyDescent="0.3">
      <c r="A26" s="4">
        <v>44210</v>
      </c>
      <c r="B26" s="2" t="s">
        <v>212</v>
      </c>
      <c r="C26" t="s">
        <v>53</v>
      </c>
      <c r="D26" t="s">
        <v>100</v>
      </c>
      <c r="E26" t="s">
        <v>174</v>
      </c>
      <c r="F26" t="s">
        <v>175</v>
      </c>
      <c r="G26" s="7">
        <v>476</v>
      </c>
      <c r="H26" s="2" t="s">
        <v>11</v>
      </c>
      <c r="I26" s="2" t="s">
        <v>7</v>
      </c>
      <c r="J26" s="4">
        <v>44253</v>
      </c>
      <c r="K26" s="12">
        <v>2</v>
      </c>
      <c r="L26" s="2" t="s">
        <v>54</v>
      </c>
      <c r="M26" s="2" t="s">
        <v>23</v>
      </c>
      <c r="N26" s="5">
        <v>92.52</v>
      </c>
      <c r="O26" s="3">
        <v>2570000020.5599999</v>
      </c>
      <c r="P26" s="8">
        <v>-9.1986861800865599E-2</v>
      </c>
    </row>
    <row r="27" spans="1:16" x14ac:dyDescent="0.3">
      <c r="A27" s="4">
        <v>44274</v>
      </c>
      <c r="B27" s="2" t="s">
        <v>198</v>
      </c>
      <c r="C27" t="s">
        <v>29</v>
      </c>
      <c r="D27" t="s">
        <v>118</v>
      </c>
      <c r="E27" t="s">
        <v>165</v>
      </c>
      <c r="F27" t="s">
        <v>165</v>
      </c>
      <c r="G27" s="7">
        <v>476</v>
      </c>
      <c r="H27" s="2" t="s">
        <v>11</v>
      </c>
      <c r="I27" s="2" t="s">
        <v>7</v>
      </c>
      <c r="J27" s="4">
        <v>44287</v>
      </c>
      <c r="K27" s="12">
        <v>4</v>
      </c>
      <c r="L27" s="2" t="s">
        <v>8</v>
      </c>
      <c r="M27" s="2" t="s">
        <v>23</v>
      </c>
      <c r="N27" s="5">
        <v>36</v>
      </c>
      <c r="O27" s="3">
        <v>822798000</v>
      </c>
      <c r="P27" s="8">
        <v>-9.8118279569892594E-2</v>
      </c>
    </row>
    <row r="28" spans="1:16" x14ac:dyDescent="0.3">
      <c r="A28" s="4">
        <v>44278</v>
      </c>
      <c r="B28" s="2" t="s">
        <v>218</v>
      </c>
      <c r="C28" t="s">
        <v>30</v>
      </c>
      <c r="D28" t="s">
        <v>119</v>
      </c>
      <c r="E28" t="s">
        <v>178</v>
      </c>
      <c r="F28" t="s">
        <v>188</v>
      </c>
      <c r="G28" s="7">
        <v>476</v>
      </c>
      <c r="H28" s="2" t="s">
        <v>11</v>
      </c>
      <c r="I28" s="2" t="s">
        <v>7</v>
      </c>
      <c r="J28" s="4">
        <v>44294</v>
      </c>
      <c r="K28" s="12">
        <v>4</v>
      </c>
      <c r="L28" s="2" t="s">
        <v>8</v>
      </c>
      <c r="M28" s="2" t="s">
        <v>21</v>
      </c>
      <c r="N28" s="5">
        <v>58</v>
      </c>
      <c r="O28" s="3">
        <v>3802641298</v>
      </c>
      <c r="P28" s="8">
        <v>-0.52888600966464405</v>
      </c>
    </row>
    <row r="29" spans="1:16" x14ac:dyDescent="0.3">
      <c r="A29" s="4">
        <v>44281</v>
      </c>
      <c r="B29" s="2" t="s">
        <v>202</v>
      </c>
      <c r="C29" t="s">
        <v>31</v>
      </c>
      <c r="D29" t="s">
        <v>120</v>
      </c>
      <c r="E29" t="s">
        <v>170</v>
      </c>
      <c r="F29" t="s">
        <v>171</v>
      </c>
      <c r="G29" s="7">
        <v>476</v>
      </c>
      <c r="H29" s="2" t="s">
        <v>5</v>
      </c>
      <c r="I29" s="2" t="s">
        <v>6</v>
      </c>
      <c r="J29" s="4">
        <v>44298</v>
      </c>
      <c r="K29" s="12">
        <v>4</v>
      </c>
      <c r="L29" s="2" t="s">
        <v>8</v>
      </c>
      <c r="M29" s="2" t="s">
        <v>23</v>
      </c>
      <c r="N29" s="5">
        <v>18</v>
      </c>
      <c r="O29" s="3">
        <v>223081848</v>
      </c>
      <c r="P29" s="8">
        <v>-2.2496998759636701E-2</v>
      </c>
    </row>
    <row r="30" spans="1:16" x14ac:dyDescent="0.3">
      <c r="A30" s="4">
        <v>44301</v>
      </c>
      <c r="B30" s="2" t="s">
        <v>239</v>
      </c>
      <c r="C30" t="s">
        <v>87</v>
      </c>
      <c r="D30" t="s">
        <v>124</v>
      </c>
      <c r="E30" t="s">
        <v>178</v>
      </c>
      <c r="F30" t="s">
        <v>188</v>
      </c>
      <c r="G30" s="7">
        <v>400</v>
      </c>
      <c r="H30" s="2" t="s">
        <v>5</v>
      </c>
      <c r="I30" s="2" t="s">
        <v>6</v>
      </c>
      <c r="J30" s="4">
        <v>44302</v>
      </c>
      <c r="K30" s="12">
        <v>4</v>
      </c>
      <c r="L30" s="2" t="s">
        <v>8</v>
      </c>
      <c r="M30" s="2" t="s">
        <v>23</v>
      </c>
      <c r="N30" s="5">
        <v>17.440000000000001</v>
      </c>
      <c r="O30" s="3">
        <v>1618399980.1600001</v>
      </c>
      <c r="P30" s="8">
        <v>-0.22591743119266</v>
      </c>
    </row>
    <row r="31" spans="1:16" x14ac:dyDescent="0.3">
      <c r="A31" s="4">
        <v>44292</v>
      </c>
      <c r="B31" s="2" t="s">
        <v>254</v>
      </c>
      <c r="C31" t="s">
        <v>32</v>
      </c>
      <c r="D31" t="s">
        <v>121</v>
      </c>
      <c r="E31" t="s">
        <v>172</v>
      </c>
      <c r="F31" t="s">
        <v>191</v>
      </c>
      <c r="G31" s="7">
        <v>476</v>
      </c>
      <c r="H31" s="2" t="s">
        <v>5</v>
      </c>
      <c r="I31" s="2" t="s">
        <v>7</v>
      </c>
      <c r="J31" s="4">
        <v>44305</v>
      </c>
      <c r="K31" s="12">
        <v>4</v>
      </c>
      <c r="L31" s="2" t="s">
        <v>8</v>
      </c>
      <c r="M31" s="2" t="s">
        <v>23</v>
      </c>
      <c r="N31" s="5">
        <v>25</v>
      </c>
      <c r="O31" s="3">
        <v>893751800</v>
      </c>
      <c r="P31" s="8">
        <v>-0.37955243527862997</v>
      </c>
    </row>
    <row r="32" spans="1:16" x14ac:dyDescent="0.3">
      <c r="A32" s="4">
        <v>44302</v>
      </c>
      <c r="B32" s="2" t="s">
        <v>207</v>
      </c>
      <c r="C32" t="s">
        <v>63</v>
      </c>
      <c r="D32" t="s">
        <v>125</v>
      </c>
      <c r="E32" t="s">
        <v>178</v>
      </c>
      <c r="F32" t="s">
        <v>179</v>
      </c>
      <c r="G32" s="7">
        <v>400</v>
      </c>
      <c r="H32" s="2" t="s">
        <v>11</v>
      </c>
      <c r="I32" s="2" t="s">
        <v>6</v>
      </c>
      <c r="J32" s="4">
        <v>44305</v>
      </c>
      <c r="K32" s="12">
        <v>4</v>
      </c>
      <c r="L32" s="2" t="s">
        <v>8</v>
      </c>
      <c r="M32" s="2" t="s">
        <v>17</v>
      </c>
      <c r="N32" s="5">
        <v>40.14</v>
      </c>
      <c r="O32" s="3">
        <v>1260152711.46</v>
      </c>
      <c r="P32" s="8">
        <v>-8.7680970928186705E-2</v>
      </c>
    </row>
    <row r="33" spans="1:16" x14ac:dyDescent="0.3">
      <c r="A33" s="4">
        <v>44295</v>
      </c>
      <c r="B33" s="2" t="s">
        <v>203</v>
      </c>
      <c r="C33" t="s">
        <v>55</v>
      </c>
      <c r="D33" t="s">
        <v>122</v>
      </c>
      <c r="E33" t="s">
        <v>168</v>
      </c>
      <c r="F33" t="s">
        <v>169</v>
      </c>
      <c r="G33" s="7">
        <v>476</v>
      </c>
      <c r="H33" s="2" t="s">
        <v>12</v>
      </c>
      <c r="I33" s="2" t="s">
        <v>7</v>
      </c>
      <c r="J33" s="4">
        <v>44309</v>
      </c>
      <c r="K33" s="12">
        <v>4</v>
      </c>
      <c r="L33" s="2" t="s">
        <v>54</v>
      </c>
      <c r="M33" s="2" t="s">
        <v>17</v>
      </c>
      <c r="N33" s="5">
        <v>25.5</v>
      </c>
      <c r="O33" s="3">
        <v>896650227</v>
      </c>
      <c r="P33" s="8">
        <v>-8.1340709247685702E-2</v>
      </c>
    </row>
    <row r="34" spans="1:16" x14ac:dyDescent="0.3">
      <c r="A34" s="4">
        <v>44298</v>
      </c>
      <c r="B34" s="2" t="s">
        <v>229</v>
      </c>
      <c r="C34" t="s">
        <v>33</v>
      </c>
      <c r="D34" t="s">
        <v>123</v>
      </c>
      <c r="E34" t="s">
        <v>178</v>
      </c>
      <c r="F34" t="s">
        <v>188</v>
      </c>
      <c r="G34" s="7">
        <v>476</v>
      </c>
      <c r="H34" s="2" t="s">
        <v>5</v>
      </c>
      <c r="I34" s="2" t="s">
        <v>7</v>
      </c>
      <c r="J34" s="4">
        <v>44309</v>
      </c>
      <c r="K34" s="12">
        <v>4</v>
      </c>
      <c r="L34" s="2" t="s">
        <v>8</v>
      </c>
      <c r="M34" s="2" t="s">
        <v>23</v>
      </c>
      <c r="N34" s="5">
        <v>15</v>
      </c>
      <c r="O34" s="3">
        <v>2700000000</v>
      </c>
      <c r="P34" s="8">
        <v>-0.31676312309729998</v>
      </c>
    </row>
    <row r="35" spans="1:16" x14ac:dyDescent="0.3">
      <c r="A35" s="4">
        <v>44309</v>
      </c>
      <c r="B35" s="2" t="s">
        <v>227</v>
      </c>
      <c r="C35" t="s">
        <v>64</v>
      </c>
      <c r="D35" t="s">
        <v>127</v>
      </c>
      <c r="E35" t="s">
        <v>172</v>
      </c>
      <c r="F35" t="s">
        <v>191</v>
      </c>
      <c r="G35" s="7">
        <v>400</v>
      </c>
      <c r="H35" s="2" t="s">
        <v>5</v>
      </c>
      <c r="I35" s="2" t="s">
        <v>6</v>
      </c>
      <c r="J35" s="4">
        <v>44312</v>
      </c>
      <c r="K35" s="12">
        <v>4</v>
      </c>
      <c r="L35" s="2" t="s">
        <v>8</v>
      </c>
      <c r="M35" s="2" t="s">
        <v>17</v>
      </c>
      <c r="N35" s="5">
        <v>12</v>
      </c>
      <c r="O35" s="3">
        <v>2489177484</v>
      </c>
      <c r="P35" s="8">
        <v>0.33756213205041902</v>
      </c>
    </row>
    <row r="36" spans="1:16" x14ac:dyDescent="0.3">
      <c r="A36" s="4">
        <v>44314</v>
      </c>
      <c r="B36" s="2" t="s">
        <v>208</v>
      </c>
      <c r="C36" t="s">
        <v>65</v>
      </c>
      <c r="D36" t="s">
        <v>128</v>
      </c>
      <c r="E36" t="s">
        <v>166</v>
      </c>
      <c r="F36" t="s">
        <v>167</v>
      </c>
      <c r="G36" s="7">
        <v>400</v>
      </c>
      <c r="H36" s="2" t="s">
        <v>11</v>
      </c>
      <c r="I36" s="2" t="s">
        <v>6</v>
      </c>
      <c r="J36" s="4">
        <v>44315</v>
      </c>
      <c r="K36" s="12">
        <v>4</v>
      </c>
      <c r="L36" s="2" t="s">
        <v>8</v>
      </c>
      <c r="M36" s="2" t="s">
        <v>10</v>
      </c>
      <c r="N36" s="5">
        <v>9.9</v>
      </c>
      <c r="O36" s="3">
        <v>459999995.39999998</v>
      </c>
      <c r="P36" s="8">
        <v>0.60202020202020101</v>
      </c>
    </row>
    <row r="37" spans="1:16" x14ac:dyDescent="0.3">
      <c r="A37" s="4">
        <v>44314</v>
      </c>
      <c r="B37" s="2" t="s">
        <v>213</v>
      </c>
      <c r="C37" t="s">
        <v>66</v>
      </c>
      <c r="D37" t="s">
        <v>129</v>
      </c>
      <c r="E37" t="s">
        <v>174</v>
      </c>
      <c r="F37" t="s">
        <v>183</v>
      </c>
      <c r="G37" s="7">
        <v>400</v>
      </c>
      <c r="H37" s="2" t="s">
        <v>12</v>
      </c>
      <c r="I37" s="2" t="s">
        <v>6</v>
      </c>
      <c r="J37" s="4">
        <v>44315</v>
      </c>
      <c r="K37" s="12">
        <v>4</v>
      </c>
      <c r="L37" s="2" t="s">
        <v>8</v>
      </c>
      <c r="M37" s="2" t="s">
        <v>9</v>
      </c>
      <c r="N37" s="5">
        <v>9.67</v>
      </c>
      <c r="O37" s="3">
        <v>5004225000</v>
      </c>
      <c r="P37" s="8">
        <v>-0.111481222599343</v>
      </c>
    </row>
    <row r="38" spans="1:16" x14ac:dyDescent="0.3">
      <c r="A38" s="4">
        <v>44315</v>
      </c>
      <c r="B38" s="2" t="s">
        <v>242</v>
      </c>
      <c r="C38" t="s">
        <v>67</v>
      </c>
      <c r="D38" t="s">
        <v>130</v>
      </c>
      <c r="E38" t="s">
        <v>174</v>
      </c>
      <c r="F38" t="s">
        <v>175</v>
      </c>
      <c r="G38" s="7">
        <v>400</v>
      </c>
      <c r="H38" s="2" t="s">
        <v>5</v>
      </c>
      <c r="I38" s="2" t="s">
        <v>6</v>
      </c>
      <c r="J38" s="4">
        <v>44316</v>
      </c>
      <c r="K38" s="12">
        <v>4</v>
      </c>
      <c r="L38" s="2" t="s">
        <v>54</v>
      </c>
      <c r="M38" s="2" t="s">
        <v>96</v>
      </c>
      <c r="N38" s="5">
        <v>20.010000000000002</v>
      </c>
      <c r="O38" s="3">
        <v>1174587000</v>
      </c>
      <c r="P38" s="8">
        <v>-0.45493915123818102</v>
      </c>
    </row>
    <row r="39" spans="1:16" x14ac:dyDescent="0.3">
      <c r="A39" s="4">
        <v>44305</v>
      </c>
      <c r="B39" s="2" t="s">
        <v>237</v>
      </c>
      <c r="C39" t="s">
        <v>34</v>
      </c>
      <c r="D39" t="s">
        <v>126</v>
      </c>
      <c r="E39" t="s">
        <v>170</v>
      </c>
      <c r="F39" t="s">
        <v>171</v>
      </c>
      <c r="G39" s="7">
        <v>476</v>
      </c>
      <c r="H39" s="2" t="s">
        <v>11</v>
      </c>
      <c r="I39" s="2" t="s">
        <v>7</v>
      </c>
      <c r="J39" s="4">
        <v>44319</v>
      </c>
      <c r="K39" s="12">
        <v>5</v>
      </c>
      <c r="L39" s="2" t="s">
        <v>8</v>
      </c>
      <c r="M39" s="2" t="s">
        <v>17</v>
      </c>
      <c r="N39" s="5">
        <v>30</v>
      </c>
      <c r="O39" s="3">
        <v>3978000000</v>
      </c>
      <c r="P39" s="8">
        <v>-0.37405041922267401</v>
      </c>
    </row>
    <row r="40" spans="1:16" x14ac:dyDescent="0.3">
      <c r="A40" s="4">
        <v>44316</v>
      </c>
      <c r="B40" s="2" t="s">
        <v>231</v>
      </c>
      <c r="C40" t="s">
        <v>35</v>
      </c>
      <c r="D40" t="s">
        <v>131</v>
      </c>
      <c r="E40" t="s">
        <v>176</v>
      </c>
      <c r="F40" t="s">
        <v>177</v>
      </c>
      <c r="G40" s="7">
        <v>476</v>
      </c>
      <c r="H40" s="2" t="s">
        <v>11</v>
      </c>
      <c r="I40" s="2" t="s">
        <v>6</v>
      </c>
      <c r="J40" s="4">
        <v>44320</v>
      </c>
      <c r="K40" s="12">
        <v>5</v>
      </c>
      <c r="L40" s="2" t="s">
        <v>8</v>
      </c>
      <c r="M40" s="2" t="s">
        <v>17</v>
      </c>
      <c r="N40" s="5">
        <v>16</v>
      </c>
      <c r="O40" s="3">
        <v>1000500000</v>
      </c>
      <c r="P40" s="8">
        <v>9.375E-2</v>
      </c>
    </row>
    <row r="41" spans="1:16" x14ac:dyDescent="0.3">
      <c r="A41" s="4">
        <v>44320</v>
      </c>
      <c r="B41" s="2" t="s">
        <v>249</v>
      </c>
      <c r="C41" t="s">
        <v>88</v>
      </c>
      <c r="D41" t="s">
        <v>132</v>
      </c>
      <c r="E41" t="s">
        <v>165</v>
      </c>
      <c r="F41" t="s">
        <v>165</v>
      </c>
      <c r="G41" s="7">
        <v>400</v>
      </c>
      <c r="H41" s="2" t="s">
        <v>11</v>
      </c>
      <c r="I41" s="2" t="s">
        <v>6</v>
      </c>
      <c r="J41" s="4">
        <v>44321</v>
      </c>
      <c r="K41" s="12">
        <v>5</v>
      </c>
      <c r="L41" s="2" t="s">
        <v>8</v>
      </c>
      <c r="M41" s="2" t="s">
        <v>17</v>
      </c>
      <c r="N41" s="5">
        <v>14.75</v>
      </c>
      <c r="O41" s="3">
        <v>1187375000</v>
      </c>
      <c r="P41" s="8">
        <v>0.26779661016949102</v>
      </c>
    </row>
    <row r="42" spans="1:16" x14ac:dyDescent="0.3">
      <c r="A42" s="4">
        <v>44330</v>
      </c>
      <c r="B42" s="2" t="s">
        <v>226</v>
      </c>
      <c r="C42" t="s">
        <v>89</v>
      </c>
      <c r="D42" t="s">
        <v>133</v>
      </c>
      <c r="E42" t="s">
        <v>176</v>
      </c>
      <c r="F42" t="s">
        <v>177</v>
      </c>
      <c r="G42" s="7">
        <v>400</v>
      </c>
      <c r="H42" s="2" t="s">
        <v>5</v>
      </c>
      <c r="I42" s="2" t="s">
        <v>6</v>
      </c>
      <c r="J42" s="4">
        <v>44329</v>
      </c>
      <c r="K42" s="12">
        <v>5</v>
      </c>
      <c r="L42" s="2" t="s">
        <v>8</v>
      </c>
      <c r="M42" s="2" t="s">
        <v>23</v>
      </c>
      <c r="N42" s="5">
        <v>20</v>
      </c>
      <c r="O42" s="3">
        <v>554345740</v>
      </c>
      <c r="P42" s="8">
        <v>-0.72899999999999998</v>
      </c>
    </row>
    <row r="43" spans="1:16" x14ac:dyDescent="0.3">
      <c r="A43" s="4">
        <v>44330</v>
      </c>
      <c r="B43" s="2" t="s">
        <v>225</v>
      </c>
      <c r="C43" t="s">
        <v>90</v>
      </c>
      <c r="D43" t="s">
        <v>134</v>
      </c>
      <c r="E43" t="s">
        <v>174</v>
      </c>
      <c r="F43" t="s">
        <v>186</v>
      </c>
      <c r="G43" s="7">
        <v>400</v>
      </c>
      <c r="H43" s="2" t="s">
        <v>11</v>
      </c>
      <c r="I43" s="2" t="s">
        <v>6</v>
      </c>
      <c r="J43" s="4">
        <v>44330</v>
      </c>
      <c r="K43" s="12">
        <v>5</v>
      </c>
      <c r="L43" s="2" t="s">
        <v>94</v>
      </c>
      <c r="M43" s="2" t="s">
        <v>23</v>
      </c>
      <c r="N43" s="5">
        <v>7.16</v>
      </c>
      <c r="O43" s="3">
        <v>299000003.31999999</v>
      </c>
      <c r="P43" s="8">
        <v>-0.18016759776536301</v>
      </c>
    </row>
    <row r="44" spans="1:16" x14ac:dyDescent="0.3">
      <c r="A44" s="4">
        <v>44334</v>
      </c>
      <c r="B44" s="2" t="s">
        <v>253</v>
      </c>
      <c r="C44" t="s">
        <v>36</v>
      </c>
      <c r="D44" t="s">
        <v>135</v>
      </c>
      <c r="E44" t="s">
        <v>178</v>
      </c>
      <c r="F44" t="s">
        <v>188</v>
      </c>
      <c r="G44" s="7">
        <v>476</v>
      </c>
      <c r="H44" s="2" t="s">
        <v>5</v>
      </c>
      <c r="I44" s="2" t="s">
        <v>7</v>
      </c>
      <c r="J44" s="4">
        <v>44344</v>
      </c>
      <c r="K44" s="12">
        <v>5</v>
      </c>
      <c r="L44" s="2" t="s">
        <v>8</v>
      </c>
      <c r="M44" s="2" t="s">
        <v>293</v>
      </c>
      <c r="N44" s="5">
        <v>71</v>
      </c>
      <c r="O44" s="3">
        <v>4889060000</v>
      </c>
      <c r="P44" s="8">
        <v>-0.32921123559162901</v>
      </c>
    </row>
    <row r="45" spans="1:16" x14ac:dyDescent="0.3">
      <c r="A45" s="4">
        <v>44342</v>
      </c>
      <c r="B45" s="2" t="s">
        <v>220</v>
      </c>
      <c r="C45" t="s">
        <v>37</v>
      </c>
      <c r="D45" t="s">
        <v>136</v>
      </c>
      <c r="E45" t="s">
        <v>170</v>
      </c>
      <c r="F45" t="s">
        <v>187</v>
      </c>
      <c r="G45" s="7">
        <v>476</v>
      </c>
      <c r="H45" s="2" t="s">
        <v>11</v>
      </c>
      <c r="I45" s="2" t="s">
        <v>6</v>
      </c>
      <c r="J45" s="4">
        <v>44347</v>
      </c>
      <c r="K45" s="12">
        <v>5</v>
      </c>
      <c r="L45" s="2" t="s">
        <v>8</v>
      </c>
      <c r="M45" s="2" t="s">
        <v>23</v>
      </c>
      <c r="N45" s="5">
        <v>13.2</v>
      </c>
      <c r="O45" s="3">
        <v>406220760</v>
      </c>
      <c r="P45" s="8">
        <v>-0.796969696969696</v>
      </c>
    </row>
    <row r="46" spans="1:16" x14ac:dyDescent="0.3">
      <c r="A46" s="4">
        <v>44347</v>
      </c>
      <c r="B46" s="2" t="s">
        <v>212</v>
      </c>
      <c r="C46" t="s">
        <v>53</v>
      </c>
      <c r="D46" t="s">
        <v>100</v>
      </c>
      <c r="E46" t="s">
        <v>174</v>
      </c>
      <c r="F46" t="s">
        <v>175</v>
      </c>
      <c r="G46" s="7">
        <v>476</v>
      </c>
      <c r="H46" s="2" t="s">
        <v>11</v>
      </c>
      <c r="I46" s="2" t="s">
        <v>7</v>
      </c>
      <c r="J46" s="4">
        <v>44357</v>
      </c>
      <c r="K46" s="12">
        <v>6</v>
      </c>
      <c r="L46" s="2" t="s">
        <v>54</v>
      </c>
      <c r="M46" s="2" t="s">
        <v>23</v>
      </c>
      <c r="N46" s="5">
        <v>122.01</v>
      </c>
      <c r="O46" s="3">
        <v>2977288020</v>
      </c>
      <c r="P46" s="8">
        <v>-9.1986861800865599E-2</v>
      </c>
    </row>
    <row r="47" spans="1:16" x14ac:dyDescent="0.3">
      <c r="A47" s="4">
        <v>44362</v>
      </c>
      <c r="B47" s="2" t="s">
        <v>209</v>
      </c>
      <c r="C47" t="s">
        <v>56</v>
      </c>
      <c r="D47" t="s">
        <v>138</v>
      </c>
      <c r="E47" t="s">
        <v>174</v>
      </c>
      <c r="F47" t="s">
        <v>175</v>
      </c>
      <c r="G47" s="7">
        <v>476</v>
      </c>
      <c r="H47" s="2" t="s">
        <v>11</v>
      </c>
      <c r="I47" s="2" t="s">
        <v>6</v>
      </c>
      <c r="J47" s="4">
        <v>44368</v>
      </c>
      <c r="K47" s="12">
        <v>6</v>
      </c>
      <c r="L47" s="2" t="s">
        <v>54</v>
      </c>
      <c r="M47" s="2" t="s">
        <v>23</v>
      </c>
      <c r="N47" s="5">
        <v>16</v>
      </c>
      <c r="O47" s="3">
        <v>400400000</v>
      </c>
      <c r="P47" s="8">
        <v>-9.375E-2</v>
      </c>
    </row>
    <row r="48" spans="1:16" x14ac:dyDescent="0.3">
      <c r="A48" s="4">
        <v>44358</v>
      </c>
      <c r="B48" s="2" t="s">
        <v>221</v>
      </c>
      <c r="C48" t="s">
        <v>38</v>
      </c>
      <c r="D48" t="s">
        <v>137</v>
      </c>
      <c r="E48" t="s">
        <v>172</v>
      </c>
      <c r="F48" t="s">
        <v>189</v>
      </c>
      <c r="G48" s="7">
        <v>476</v>
      </c>
      <c r="H48" s="2" t="s">
        <v>5</v>
      </c>
      <c r="I48" s="2" t="s">
        <v>7</v>
      </c>
      <c r="J48" s="4">
        <v>44371</v>
      </c>
      <c r="K48" s="12">
        <v>6</v>
      </c>
      <c r="L48" s="2" t="s">
        <v>8</v>
      </c>
      <c r="M48" s="2" t="s">
        <v>23</v>
      </c>
      <c r="N48" s="5">
        <v>12.5</v>
      </c>
      <c r="O48" s="3">
        <v>1970439300</v>
      </c>
      <c r="P48" s="8">
        <v>-0.45250560957367197</v>
      </c>
    </row>
    <row r="49" spans="1:16" x14ac:dyDescent="0.3">
      <c r="A49" s="4">
        <v>44362</v>
      </c>
      <c r="B49" s="2" t="s">
        <v>205</v>
      </c>
      <c r="C49" t="s">
        <v>57</v>
      </c>
      <c r="D49" t="s">
        <v>139</v>
      </c>
      <c r="E49" t="s">
        <v>174</v>
      </c>
      <c r="F49" t="s">
        <v>175</v>
      </c>
      <c r="G49" s="7">
        <v>476</v>
      </c>
      <c r="H49" s="2" t="s">
        <v>11</v>
      </c>
      <c r="I49" s="2" t="s">
        <v>7</v>
      </c>
      <c r="J49" s="4">
        <v>44375</v>
      </c>
      <c r="K49" s="12">
        <v>6</v>
      </c>
      <c r="L49" s="2" t="s">
        <v>54</v>
      </c>
      <c r="M49" s="2" t="s">
        <v>21</v>
      </c>
      <c r="N49" s="5">
        <v>19.28</v>
      </c>
      <c r="O49" s="3">
        <v>5499999970.2399998</v>
      </c>
      <c r="P49" s="8">
        <v>-0.12879468110060499</v>
      </c>
    </row>
    <row r="50" spans="1:16" x14ac:dyDescent="0.3">
      <c r="A50" s="4">
        <v>44378</v>
      </c>
      <c r="B50" s="2" t="s">
        <v>299</v>
      </c>
      <c r="C50" t="s">
        <v>68</v>
      </c>
      <c r="D50" t="s">
        <v>297</v>
      </c>
      <c r="E50" t="s">
        <v>165</v>
      </c>
      <c r="F50" t="s">
        <v>165</v>
      </c>
      <c r="G50" s="7">
        <v>400</v>
      </c>
      <c r="H50" s="2" t="s">
        <v>12</v>
      </c>
      <c r="I50" s="2" t="s">
        <v>7</v>
      </c>
      <c r="J50" s="4">
        <v>44379</v>
      </c>
      <c r="K50" s="12">
        <v>7</v>
      </c>
      <c r="L50" s="2" t="s">
        <v>8</v>
      </c>
      <c r="M50" s="2" t="s">
        <v>9</v>
      </c>
      <c r="N50" s="5">
        <v>26</v>
      </c>
      <c r="O50" s="3">
        <v>11358750000</v>
      </c>
      <c r="P50" s="8">
        <v>5.6057550201845802E-2</v>
      </c>
    </row>
    <row r="51" spans="1:16" ht="15" x14ac:dyDescent="0.3">
      <c r="A51" s="4">
        <v>44375</v>
      </c>
      <c r="B51" s="2" t="s">
        <v>199</v>
      </c>
      <c r="C51" t="s">
        <v>39</v>
      </c>
      <c r="D51" t="s">
        <v>140</v>
      </c>
      <c r="E51" t="s">
        <v>166</v>
      </c>
      <c r="F51" t="s">
        <v>167</v>
      </c>
      <c r="G51" s="7">
        <v>476</v>
      </c>
      <c r="H51" s="2" t="s">
        <v>5</v>
      </c>
      <c r="I51" s="2" t="s">
        <v>6</v>
      </c>
      <c r="J51" s="4">
        <v>44389</v>
      </c>
      <c r="K51" s="12">
        <v>7</v>
      </c>
      <c r="L51" s="2" t="s">
        <v>8</v>
      </c>
      <c r="M51" s="2" t="s">
        <v>23</v>
      </c>
      <c r="N51" s="5">
        <v>12.25</v>
      </c>
      <c r="O51" s="3">
        <v>1546862747.5</v>
      </c>
      <c r="P51" s="8">
        <v>-0.20571428571428499</v>
      </c>
    </row>
    <row r="52" spans="1:16" ht="15" x14ac:dyDescent="0.3">
      <c r="A52" s="4">
        <v>44390</v>
      </c>
      <c r="B52" s="2" t="s">
        <v>256</v>
      </c>
      <c r="C52" t="s">
        <v>69</v>
      </c>
      <c r="D52" t="s">
        <v>144</v>
      </c>
      <c r="E52" t="s">
        <v>170</v>
      </c>
      <c r="F52" t="s">
        <v>196</v>
      </c>
      <c r="G52" s="7">
        <v>400</v>
      </c>
      <c r="H52" s="2" t="s">
        <v>11</v>
      </c>
      <c r="I52" s="2" t="s">
        <v>6</v>
      </c>
      <c r="J52" s="4">
        <v>44391</v>
      </c>
      <c r="K52" s="12">
        <v>7</v>
      </c>
      <c r="L52" s="2" t="s">
        <v>8</v>
      </c>
      <c r="M52" s="2" t="s">
        <v>17</v>
      </c>
      <c r="N52" s="5">
        <v>23</v>
      </c>
      <c r="O52" s="3">
        <v>2645000000</v>
      </c>
      <c r="P52" s="8">
        <v>-0.483870967741935</v>
      </c>
    </row>
    <row r="53" spans="1:16" ht="15" x14ac:dyDescent="0.3">
      <c r="A53" s="4">
        <v>44391</v>
      </c>
      <c r="B53" s="2" t="s">
        <v>214</v>
      </c>
      <c r="C53" t="s">
        <v>70</v>
      </c>
      <c r="D53" t="s">
        <v>145</v>
      </c>
      <c r="E53" t="s">
        <v>184</v>
      </c>
      <c r="F53" t="s">
        <v>185</v>
      </c>
      <c r="G53" s="7">
        <v>400</v>
      </c>
      <c r="H53" s="2" t="s">
        <v>5</v>
      </c>
      <c r="I53" s="2" t="s">
        <v>6</v>
      </c>
      <c r="J53" s="4">
        <v>44392</v>
      </c>
      <c r="K53" s="12">
        <v>7</v>
      </c>
      <c r="L53" s="2" t="s">
        <v>8</v>
      </c>
      <c r="M53" s="2" t="s">
        <v>293</v>
      </c>
      <c r="N53" s="5">
        <v>11.2</v>
      </c>
      <c r="O53" s="3">
        <v>1610000000</v>
      </c>
      <c r="P53" s="8">
        <v>0.220535714285714</v>
      </c>
    </row>
    <row r="54" spans="1:16" ht="15" x14ac:dyDescent="0.3">
      <c r="A54" s="4">
        <v>44384</v>
      </c>
      <c r="B54" s="2" t="s">
        <v>240</v>
      </c>
      <c r="C54" t="s">
        <v>40</v>
      </c>
      <c r="D54" t="s">
        <v>141</v>
      </c>
      <c r="E54" t="s">
        <v>176</v>
      </c>
      <c r="F54" t="s">
        <v>177</v>
      </c>
      <c r="G54" s="7">
        <v>476</v>
      </c>
      <c r="H54" s="2" t="s">
        <v>5</v>
      </c>
      <c r="I54" s="2" t="s">
        <v>7</v>
      </c>
      <c r="J54" s="4">
        <v>44396</v>
      </c>
      <c r="K54" s="12">
        <v>7</v>
      </c>
      <c r="L54" s="2" t="s">
        <v>8</v>
      </c>
      <c r="M54" s="2" t="s">
        <v>23</v>
      </c>
      <c r="N54" s="5">
        <v>57</v>
      </c>
      <c r="O54" s="3">
        <v>997517784</v>
      </c>
      <c r="P54" s="8">
        <v>0.296588289138493</v>
      </c>
    </row>
    <row r="55" spans="1:16" ht="15" x14ac:dyDescent="0.3">
      <c r="A55" s="4">
        <v>44397</v>
      </c>
      <c r="B55" s="2" t="s">
        <v>219</v>
      </c>
      <c r="C55" t="s">
        <v>71</v>
      </c>
      <c r="D55" t="s">
        <v>148</v>
      </c>
      <c r="E55" t="s">
        <v>181</v>
      </c>
      <c r="F55" t="s">
        <v>182</v>
      </c>
      <c r="G55" s="7">
        <v>400</v>
      </c>
      <c r="H55" s="2" t="s">
        <v>11</v>
      </c>
      <c r="I55" s="2" t="s">
        <v>6</v>
      </c>
      <c r="J55" s="4">
        <v>44398</v>
      </c>
      <c r="K55" s="12">
        <v>7</v>
      </c>
      <c r="L55" s="2" t="s">
        <v>8</v>
      </c>
      <c r="M55" s="2" t="s">
        <v>17</v>
      </c>
      <c r="N55" s="5">
        <v>23.5</v>
      </c>
      <c r="O55" s="3">
        <v>822505875</v>
      </c>
      <c r="P55" s="8">
        <v>-0.219574468085106</v>
      </c>
    </row>
    <row r="56" spans="1:16" ht="15" x14ac:dyDescent="0.3">
      <c r="A56" s="4">
        <v>44386</v>
      </c>
      <c r="B56" s="2" t="s">
        <v>228</v>
      </c>
      <c r="C56" t="s">
        <v>41</v>
      </c>
      <c r="D56" t="s">
        <v>142</v>
      </c>
      <c r="E56" t="s">
        <v>170</v>
      </c>
      <c r="F56" t="s">
        <v>171</v>
      </c>
      <c r="G56" s="7">
        <v>476</v>
      </c>
      <c r="H56" s="2" t="s">
        <v>11</v>
      </c>
      <c r="I56" s="2" t="s">
        <v>7</v>
      </c>
      <c r="J56" s="4">
        <v>44399</v>
      </c>
      <c r="K56" s="12">
        <v>7</v>
      </c>
      <c r="L56" s="2" t="s">
        <v>8</v>
      </c>
      <c r="M56" s="2" t="s">
        <v>17</v>
      </c>
      <c r="N56" s="5">
        <v>19.2</v>
      </c>
      <c r="O56" s="3">
        <v>883435584</v>
      </c>
      <c r="P56" s="8">
        <v>-4.9290515309932698E-2</v>
      </c>
    </row>
    <row r="57" spans="1:16" ht="15" x14ac:dyDescent="0.3">
      <c r="A57" s="4">
        <v>44398</v>
      </c>
      <c r="B57" s="2" t="s">
        <v>244</v>
      </c>
      <c r="C57" t="s">
        <v>72</v>
      </c>
      <c r="D57" t="s">
        <v>149</v>
      </c>
      <c r="E57" t="s">
        <v>176</v>
      </c>
      <c r="F57" t="s">
        <v>193</v>
      </c>
      <c r="G57" s="7">
        <v>400</v>
      </c>
      <c r="H57" s="2" t="s">
        <v>11</v>
      </c>
      <c r="I57" s="2" t="s">
        <v>6</v>
      </c>
      <c r="J57" s="4">
        <v>44399</v>
      </c>
      <c r="K57" s="12">
        <v>7</v>
      </c>
      <c r="L57" s="2" t="s">
        <v>8</v>
      </c>
      <c r="M57" s="2" t="s">
        <v>17</v>
      </c>
      <c r="N57" s="5">
        <v>11.1</v>
      </c>
      <c r="O57" s="3">
        <v>2199578475.3000002</v>
      </c>
      <c r="P57" s="8">
        <v>-0.24774774774774699</v>
      </c>
    </row>
    <row r="58" spans="1:16" ht="15" x14ac:dyDescent="0.3">
      <c r="A58" s="4">
        <v>44389</v>
      </c>
      <c r="B58" s="2" t="s">
        <v>263</v>
      </c>
      <c r="C58" t="s">
        <v>42</v>
      </c>
      <c r="D58" t="s">
        <v>143</v>
      </c>
      <c r="E58" t="s">
        <v>176</v>
      </c>
      <c r="F58" t="s">
        <v>177</v>
      </c>
      <c r="G58" s="7">
        <v>476</v>
      </c>
      <c r="H58" s="2" t="s">
        <v>11</v>
      </c>
      <c r="I58" s="2" t="s">
        <v>6</v>
      </c>
      <c r="J58" s="4">
        <v>44403</v>
      </c>
      <c r="K58" s="12">
        <v>7</v>
      </c>
      <c r="L58" s="2" t="s">
        <v>8</v>
      </c>
      <c r="M58" s="2" t="s">
        <v>23</v>
      </c>
      <c r="N58" s="5">
        <v>23.2</v>
      </c>
      <c r="O58" s="3">
        <v>453263040</v>
      </c>
      <c r="P58" s="8">
        <v>-0.26206896551724101</v>
      </c>
    </row>
    <row r="59" spans="1:16" ht="15" x14ac:dyDescent="0.3">
      <c r="A59" s="4">
        <v>44392</v>
      </c>
      <c r="B59" s="2" t="s">
        <v>238</v>
      </c>
      <c r="C59" t="s">
        <v>43</v>
      </c>
      <c r="D59" t="s">
        <v>146</v>
      </c>
      <c r="E59" t="s">
        <v>170</v>
      </c>
      <c r="F59" t="s">
        <v>171</v>
      </c>
      <c r="G59" s="7">
        <v>476</v>
      </c>
      <c r="H59" s="2" t="s">
        <v>11</v>
      </c>
      <c r="I59" s="2" t="s">
        <v>7</v>
      </c>
      <c r="J59" s="4">
        <v>44403</v>
      </c>
      <c r="K59" s="12">
        <v>7</v>
      </c>
      <c r="L59" s="2" t="s">
        <v>8</v>
      </c>
      <c r="M59" s="2" t="s">
        <v>17</v>
      </c>
      <c r="N59" s="5">
        <v>22.75</v>
      </c>
      <c r="O59" s="3">
        <v>3981250000</v>
      </c>
      <c r="P59" s="8">
        <v>-0.71041137527485598</v>
      </c>
    </row>
    <row r="60" spans="1:16" ht="15" x14ac:dyDescent="0.3">
      <c r="A60" s="4">
        <v>44396</v>
      </c>
      <c r="B60" s="2" t="s">
        <v>201</v>
      </c>
      <c r="C60" t="s">
        <v>44</v>
      </c>
      <c r="D60" t="s">
        <v>147</v>
      </c>
      <c r="E60" t="s">
        <v>166</v>
      </c>
      <c r="F60" t="s">
        <v>167</v>
      </c>
      <c r="G60" s="7">
        <v>476</v>
      </c>
      <c r="H60" s="2" t="s">
        <v>11</v>
      </c>
      <c r="I60" s="2" t="s">
        <v>6</v>
      </c>
      <c r="J60" s="4">
        <v>44403</v>
      </c>
      <c r="K60" s="12">
        <v>7</v>
      </c>
      <c r="L60" s="2" t="s">
        <v>8</v>
      </c>
      <c r="M60" s="2" t="s">
        <v>17</v>
      </c>
      <c r="N60" s="5">
        <v>13.75</v>
      </c>
      <c r="O60" s="3">
        <v>402499982.5</v>
      </c>
      <c r="P60" s="8">
        <v>-0.22399999999999901</v>
      </c>
    </row>
    <row r="61" spans="1:16" ht="15" x14ac:dyDescent="0.3">
      <c r="A61" s="4">
        <v>44403</v>
      </c>
      <c r="B61" s="2" t="s">
        <v>259</v>
      </c>
      <c r="C61" t="s">
        <v>73</v>
      </c>
      <c r="D61" t="s">
        <v>150</v>
      </c>
      <c r="E61" t="s">
        <v>181</v>
      </c>
      <c r="F61" t="s">
        <v>182</v>
      </c>
      <c r="G61" s="7">
        <v>400</v>
      </c>
      <c r="H61" s="2" t="s">
        <v>11</v>
      </c>
      <c r="I61" s="2" t="s">
        <v>6</v>
      </c>
      <c r="J61" s="4">
        <v>44404</v>
      </c>
      <c r="K61" s="12">
        <v>7</v>
      </c>
      <c r="L61" s="2" t="s">
        <v>8</v>
      </c>
      <c r="M61" s="2" t="s">
        <v>10</v>
      </c>
      <c r="N61" s="5">
        <v>8.6</v>
      </c>
      <c r="O61" s="3">
        <v>940784779.39999998</v>
      </c>
      <c r="P61" s="8">
        <v>-0.22240254479657101</v>
      </c>
    </row>
    <row r="62" spans="1:16" ht="15" x14ac:dyDescent="0.3">
      <c r="A62" s="4">
        <v>44404</v>
      </c>
      <c r="B62" s="2" t="s">
        <v>204</v>
      </c>
      <c r="C62" t="s">
        <v>91</v>
      </c>
      <c r="D62" t="s">
        <v>151</v>
      </c>
      <c r="E62" t="s">
        <v>172</v>
      </c>
      <c r="F62" t="s">
        <v>173</v>
      </c>
      <c r="G62" s="7">
        <v>400</v>
      </c>
      <c r="H62" s="2" t="s">
        <v>5</v>
      </c>
      <c r="I62" s="2" t="s">
        <v>6</v>
      </c>
      <c r="J62" s="4">
        <v>44405</v>
      </c>
      <c r="K62" s="12">
        <v>7</v>
      </c>
      <c r="L62" s="2" t="s">
        <v>8</v>
      </c>
      <c r="M62" s="2" t="s">
        <v>13</v>
      </c>
      <c r="N62" s="5">
        <v>16.63</v>
      </c>
      <c r="O62" s="3">
        <v>1532783823.8899999</v>
      </c>
      <c r="P62" s="8">
        <v>0.57899734469620701</v>
      </c>
    </row>
    <row r="63" spans="1:16" ht="15" x14ac:dyDescent="0.3">
      <c r="A63" s="4">
        <v>44404</v>
      </c>
      <c r="B63" s="2" t="s">
        <v>257</v>
      </c>
      <c r="C63" t="s">
        <v>92</v>
      </c>
      <c r="D63" t="s">
        <v>152</v>
      </c>
      <c r="E63" t="s">
        <v>176</v>
      </c>
      <c r="F63" t="s">
        <v>177</v>
      </c>
      <c r="G63" s="7">
        <v>400</v>
      </c>
      <c r="H63" s="2" t="s">
        <v>11</v>
      </c>
      <c r="I63" s="2" t="s">
        <v>6</v>
      </c>
      <c r="J63" s="4">
        <v>44405</v>
      </c>
      <c r="K63" s="12">
        <v>7</v>
      </c>
      <c r="L63" s="2" t="s">
        <v>8</v>
      </c>
      <c r="M63" s="2" t="s">
        <v>23</v>
      </c>
      <c r="N63" s="5">
        <v>9.5</v>
      </c>
      <c r="O63" s="3">
        <v>606944445.5</v>
      </c>
      <c r="P63" s="8">
        <v>-0.37052631578947298</v>
      </c>
    </row>
    <row r="64" spans="1:16" ht="15" x14ac:dyDescent="0.3">
      <c r="A64" s="4">
        <v>44405</v>
      </c>
      <c r="B64" s="2" t="s">
        <v>211</v>
      </c>
      <c r="C64" t="s">
        <v>74</v>
      </c>
      <c r="D64" t="s">
        <v>153</v>
      </c>
      <c r="E64" t="s">
        <v>181</v>
      </c>
      <c r="F64" t="s">
        <v>182</v>
      </c>
      <c r="G64" s="7">
        <v>400</v>
      </c>
      <c r="H64" s="2" t="s">
        <v>5</v>
      </c>
      <c r="I64" s="2" t="s">
        <v>6</v>
      </c>
      <c r="J64" s="4">
        <v>44406</v>
      </c>
      <c r="K64" s="12">
        <v>7</v>
      </c>
      <c r="L64" s="2" t="s">
        <v>8</v>
      </c>
      <c r="M64" s="2" t="s">
        <v>13</v>
      </c>
      <c r="N64" s="5">
        <v>13.92</v>
      </c>
      <c r="O64" s="3">
        <v>1437499997.76</v>
      </c>
      <c r="P64" s="8">
        <v>-0.64295977011494199</v>
      </c>
    </row>
    <row r="65" spans="1:16" ht="15" x14ac:dyDescent="0.3">
      <c r="A65" s="4">
        <v>44406</v>
      </c>
      <c r="B65" s="2" t="s">
        <v>215</v>
      </c>
      <c r="C65" t="s">
        <v>75</v>
      </c>
      <c r="D65" t="s">
        <v>154</v>
      </c>
      <c r="E65" t="s">
        <v>174</v>
      </c>
      <c r="F65" t="s">
        <v>186</v>
      </c>
      <c r="G65" s="7">
        <v>400</v>
      </c>
      <c r="H65" s="2" t="s">
        <v>5</v>
      </c>
      <c r="I65" s="2" t="s">
        <v>6</v>
      </c>
      <c r="J65" s="4">
        <v>44407</v>
      </c>
      <c r="K65" s="12">
        <v>7</v>
      </c>
      <c r="L65" s="2" t="s">
        <v>8</v>
      </c>
      <c r="M65" s="2" t="s">
        <v>17</v>
      </c>
      <c r="N65" s="5">
        <v>25</v>
      </c>
      <c r="O65" s="3">
        <v>1305123500</v>
      </c>
      <c r="P65" s="8">
        <v>-0.64</v>
      </c>
    </row>
    <row r="66" spans="1:16" ht="15" x14ac:dyDescent="0.3">
      <c r="A66" s="4">
        <v>44412</v>
      </c>
      <c r="B66" s="2" t="s">
        <v>252</v>
      </c>
      <c r="C66" t="s">
        <v>93</v>
      </c>
      <c r="D66" t="s">
        <v>155</v>
      </c>
      <c r="E66" t="s">
        <v>166</v>
      </c>
      <c r="F66" t="s">
        <v>167</v>
      </c>
      <c r="G66" s="7">
        <v>400</v>
      </c>
      <c r="H66" s="2" t="s">
        <v>11</v>
      </c>
      <c r="I66" s="2" t="s">
        <v>6</v>
      </c>
      <c r="J66" s="4">
        <v>44412</v>
      </c>
      <c r="K66" s="12">
        <v>8</v>
      </c>
      <c r="L66" s="2" t="s">
        <v>14</v>
      </c>
      <c r="M66" s="2" t="s">
        <v>23</v>
      </c>
      <c r="N66" s="5">
        <v>7.4</v>
      </c>
      <c r="O66" s="3">
        <v>6900001610</v>
      </c>
      <c r="P66" s="8">
        <v>-0.12638866755070999</v>
      </c>
    </row>
    <row r="67" spans="1:16" ht="15" x14ac:dyDescent="0.3">
      <c r="A67" s="4">
        <v>44412</v>
      </c>
      <c r="B67" s="2" t="s">
        <v>262</v>
      </c>
      <c r="C67" t="s">
        <v>46</v>
      </c>
      <c r="D67" t="s">
        <v>156</v>
      </c>
      <c r="E67" t="s">
        <v>178</v>
      </c>
      <c r="F67" t="s">
        <v>180</v>
      </c>
      <c r="G67" s="7">
        <v>476</v>
      </c>
      <c r="H67" s="2" t="s">
        <v>5</v>
      </c>
      <c r="I67" s="2" t="s">
        <v>6</v>
      </c>
      <c r="J67" s="4">
        <v>44417</v>
      </c>
      <c r="K67" s="12">
        <v>8</v>
      </c>
      <c r="L67" s="2" t="s">
        <v>8</v>
      </c>
      <c r="M67" s="2" t="s">
        <v>45</v>
      </c>
      <c r="N67" s="5">
        <v>19.920000000000002</v>
      </c>
      <c r="O67" s="3">
        <v>1943506214.1599998</v>
      </c>
      <c r="P67" s="8">
        <v>-4.0151733996131297E-2</v>
      </c>
    </row>
    <row r="68" spans="1:16" ht="15" x14ac:dyDescent="0.3">
      <c r="A68" s="4">
        <v>44417</v>
      </c>
      <c r="B68" s="2" t="s">
        <v>247</v>
      </c>
      <c r="C68" t="s">
        <v>76</v>
      </c>
      <c r="D68" t="s">
        <v>157</v>
      </c>
      <c r="E68" t="s">
        <v>178</v>
      </c>
      <c r="F68" t="s">
        <v>188</v>
      </c>
      <c r="G68" s="7">
        <v>400</v>
      </c>
      <c r="H68" s="2" t="s">
        <v>5</v>
      </c>
      <c r="I68" s="2" t="s">
        <v>6</v>
      </c>
      <c r="J68" s="4">
        <v>44418</v>
      </c>
      <c r="K68" s="12">
        <v>8</v>
      </c>
      <c r="L68" s="2" t="s">
        <v>8</v>
      </c>
      <c r="M68" s="2" t="s">
        <v>15</v>
      </c>
      <c r="N68" s="5">
        <v>19.75</v>
      </c>
      <c r="O68" s="3">
        <v>3067874821.5</v>
      </c>
      <c r="P68" s="8">
        <v>-0.430379746835443</v>
      </c>
    </row>
    <row r="69" spans="1:16" ht="15" x14ac:dyDescent="0.3">
      <c r="A69" s="4">
        <v>44417</v>
      </c>
      <c r="B69" s="2" t="s">
        <v>234</v>
      </c>
      <c r="C69" t="s">
        <v>47</v>
      </c>
      <c r="D69" t="s">
        <v>158</v>
      </c>
      <c r="E69" t="s">
        <v>178</v>
      </c>
      <c r="F69" t="s">
        <v>188</v>
      </c>
      <c r="G69" s="7">
        <v>476</v>
      </c>
      <c r="H69" s="2" t="s">
        <v>11</v>
      </c>
      <c r="I69" s="2" t="s">
        <v>6</v>
      </c>
      <c r="J69" s="4">
        <v>44421</v>
      </c>
      <c r="K69" s="12">
        <v>8</v>
      </c>
      <c r="L69" s="2" t="s">
        <v>8</v>
      </c>
      <c r="M69" s="2" t="s">
        <v>17</v>
      </c>
      <c r="N69" s="5">
        <v>7.2</v>
      </c>
      <c r="O69" s="3">
        <v>874920794.39999998</v>
      </c>
      <c r="P69" s="8">
        <v>-0.27916666666666601</v>
      </c>
    </row>
    <row r="70" spans="1:16" ht="15" x14ac:dyDescent="0.3">
      <c r="A70" s="4">
        <v>44424</v>
      </c>
      <c r="B70" s="2" t="s">
        <v>261</v>
      </c>
      <c r="C70" t="s">
        <v>48</v>
      </c>
      <c r="D70" t="s">
        <v>159</v>
      </c>
      <c r="E70" t="s">
        <v>184</v>
      </c>
      <c r="F70" t="s">
        <v>197</v>
      </c>
      <c r="G70" s="7">
        <v>476</v>
      </c>
      <c r="H70" s="2" t="s">
        <v>5</v>
      </c>
      <c r="I70" s="2" t="s">
        <v>6</v>
      </c>
      <c r="J70" s="4">
        <v>44441</v>
      </c>
      <c r="K70" s="12">
        <v>9</v>
      </c>
      <c r="L70" s="2" t="s">
        <v>8</v>
      </c>
      <c r="M70" s="2" t="s">
        <v>10</v>
      </c>
      <c r="N70" s="5">
        <v>8.6</v>
      </c>
      <c r="O70" s="3">
        <v>435999996.39999998</v>
      </c>
      <c r="P70" s="8">
        <v>0.68962028059893499</v>
      </c>
    </row>
    <row r="71" spans="1:16" ht="15" x14ac:dyDescent="0.3">
      <c r="A71" s="4">
        <v>44434</v>
      </c>
      <c r="B71" s="2" t="s">
        <v>255</v>
      </c>
      <c r="C71" t="s">
        <v>49</v>
      </c>
      <c r="D71" t="s">
        <v>160</v>
      </c>
      <c r="E71" t="s">
        <v>176</v>
      </c>
      <c r="F71" t="s">
        <v>177</v>
      </c>
      <c r="G71" s="7">
        <v>476</v>
      </c>
      <c r="H71" s="2" t="s">
        <v>11</v>
      </c>
      <c r="I71" s="2" t="s">
        <v>7</v>
      </c>
      <c r="J71" s="4">
        <v>44445</v>
      </c>
      <c r="K71" s="12">
        <v>9</v>
      </c>
      <c r="L71" s="2" t="s">
        <v>8</v>
      </c>
      <c r="M71" s="2" t="s">
        <v>23</v>
      </c>
      <c r="N71" s="5">
        <v>23</v>
      </c>
      <c r="O71" s="3">
        <v>400042680</v>
      </c>
      <c r="P71" s="8">
        <v>-0.29596655586930898</v>
      </c>
    </row>
    <row r="72" spans="1:16" ht="15" x14ac:dyDescent="0.3">
      <c r="A72" s="4">
        <v>44452</v>
      </c>
      <c r="B72" s="2" t="s">
        <v>258</v>
      </c>
      <c r="C72" t="s">
        <v>50</v>
      </c>
      <c r="D72" t="s">
        <v>161</v>
      </c>
      <c r="E72" t="s">
        <v>176</v>
      </c>
      <c r="F72" t="s">
        <v>177</v>
      </c>
      <c r="G72" s="7">
        <v>476</v>
      </c>
      <c r="H72" s="2" t="s">
        <v>11</v>
      </c>
      <c r="I72" s="2" t="s">
        <v>7</v>
      </c>
      <c r="J72" s="4">
        <v>44462</v>
      </c>
      <c r="K72" s="12">
        <v>9</v>
      </c>
      <c r="L72" s="2" t="s">
        <v>8</v>
      </c>
      <c r="M72" s="2" t="s">
        <v>23</v>
      </c>
      <c r="N72" s="5">
        <v>36.75</v>
      </c>
      <c r="O72" s="3">
        <v>1443172500</v>
      </c>
      <c r="P72" s="8">
        <v>7.1755591635436202E-3</v>
      </c>
    </row>
    <row r="73" spans="1:16" ht="15" x14ac:dyDescent="0.3">
      <c r="A73" s="4">
        <v>44454</v>
      </c>
      <c r="B73" s="2" t="s">
        <v>260</v>
      </c>
      <c r="C73" t="s">
        <v>25</v>
      </c>
      <c r="D73" t="s">
        <v>102</v>
      </c>
      <c r="E73" t="s">
        <v>170</v>
      </c>
      <c r="F73" t="s">
        <v>187</v>
      </c>
      <c r="G73" s="7">
        <v>476</v>
      </c>
      <c r="H73" s="2" t="s">
        <v>11</v>
      </c>
      <c r="I73" s="2" t="s">
        <v>7</v>
      </c>
      <c r="J73" s="4">
        <v>44466</v>
      </c>
      <c r="K73" s="12">
        <v>9</v>
      </c>
      <c r="L73" s="2" t="s">
        <v>8</v>
      </c>
      <c r="M73" s="2" t="s">
        <v>23</v>
      </c>
      <c r="N73" s="5">
        <v>16.75</v>
      </c>
      <c r="O73" s="3">
        <v>1098532167.5</v>
      </c>
      <c r="P73" s="8">
        <v>0.87223574793304903</v>
      </c>
    </row>
    <row r="74" spans="1:16" ht="15" x14ac:dyDescent="0.3">
      <c r="A74" s="4">
        <v>44459</v>
      </c>
      <c r="B74" s="2" t="s">
        <v>200</v>
      </c>
      <c r="C74" t="s">
        <v>51</v>
      </c>
      <c r="D74" t="s">
        <v>162</v>
      </c>
      <c r="E74" t="s">
        <v>168</v>
      </c>
      <c r="F74" t="s">
        <v>169</v>
      </c>
      <c r="G74" s="7">
        <v>476</v>
      </c>
      <c r="H74" s="2" t="s">
        <v>11</v>
      </c>
      <c r="I74" s="2" t="s">
        <v>7</v>
      </c>
      <c r="J74" s="4">
        <v>44469</v>
      </c>
      <c r="K74" s="12">
        <v>9</v>
      </c>
      <c r="L74" s="2" t="s">
        <v>8</v>
      </c>
      <c r="M74" s="2" t="s">
        <v>21</v>
      </c>
      <c r="N74" s="5">
        <v>12</v>
      </c>
      <c r="O74" s="3">
        <v>1116000000</v>
      </c>
      <c r="P74" s="8">
        <v>-0.31841042900609501</v>
      </c>
    </row>
    <row r="75" spans="1:16" ht="15" x14ac:dyDescent="0.3">
      <c r="A75" s="4">
        <v>44494</v>
      </c>
      <c r="B75" s="2" t="s">
        <v>198</v>
      </c>
      <c r="C75" t="s">
        <v>29</v>
      </c>
      <c r="D75" t="s">
        <v>118</v>
      </c>
      <c r="E75" t="s">
        <v>165</v>
      </c>
      <c r="F75" t="s">
        <v>165</v>
      </c>
      <c r="G75" s="7">
        <v>476</v>
      </c>
      <c r="H75" s="2" t="s">
        <v>5</v>
      </c>
      <c r="I75" s="2" t="s">
        <v>7</v>
      </c>
      <c r="J75" s="4">
        <v>44508</v>
      </c>
      <c r="K75" s="12">
        <v>11</v>
      </c>
      <c r="L75" s="2" t="s">
        <v>8</v>
      </c>
      <c r="M75" s="2" t="s">
        <v>17</v>
      </c>
      <c r="N75" s="5">
        <v>33</v>
      </c>
      <c r="O75" s="3">
        <v>2409000000</v>
      </c>
      <c r="P75" s="8">
        <v>-9.8118279569892594E-2</v>
      </c>
    </row>
    <row r="76" spans="1:16" ht="15" x14ac:dyDescent="0.3">
      <c r="A76" s="4">
        <v>44509</v>
      </c>
      <c r="B76" s="2" t="s">
        <v>251</v>
      </c>
      <c r="C76" t="s">
        <v>52</v>
      </c>
      <c r="D76" t="s">
        <v>163</v>
      </c>
      <c r="E76" t="s">
        <v>170</v>
      </c>
      <c r="F76" t="s">
        <v>171</v>
      </c>
      <c r="G76" s="7">
        <v>476</v>
      </c>
      <c r="H76" s="2" t="s">
        <v>11</v>
      </c>
      <c r="I76" s="2" t="s">
        <v>7</v>
      </c>
      <c r="J76" s="4">
        <v>44522</v>
      </c>
      <c r="K76" s="12">
        <v>11</v>
      </c>
      <c r="L76" s="2" t="s">
        <v>8</v>
      </c>
      <c r="M76" s="2" t="s">
        <v>17</v>
      </c>
      <c r="N76" s="5">
        <v>19</v>
      </c>
      <c r="O76" s="3">
        <v>779000000</v>
      </c>
      <c r="P76" s="8">
        <v>-0.14110344407286099</v>
      </c>
    </row>
    <row r="77" spans="1:16" ht="15" x14ac:dyDescent="0.3">
      <c r="A77" s="4">
        <v>44539</v>
      </c>
      <c r="B77" s="2" t="s">
        <v>245</v>
      </c>
      <c r="C77" t="s">
        <v>77</v>
      </c>
      <c r="D77" t="s">
        <v>164</v>
      </c>
      <c r="E77" t="s">
        <v>174</v>
      </c>
      <c r="F77" t="s">
        <v>175</v>
      </c>
      <c r="G77" s="7">
        <v>400</v>
      </c>
      <c r="H77" s="2" t="s">
        <v>11</v>
      </c>
      <c r="I77" s="2" t="s">
        <v>6</v>
      </c>
      <c r="J77" s="4">
        <v>44539</v>
      </c>
      <c r="K77" s="12">
        <v>12</v>
      </c>
      <c r="L77" s="2" t="s">
        <v>94</v>
      </c>
      <c r="M77" s="2" t="s">
        <v>78</v>
      </c>
      <c r="N77" s="5">
        <v>8.36</v>
      </c>
      <c r="O77" s="3">
        <v>405680536</v>
      </c>
      <c r="P77" s="8">
        <v>-0.127490039840637</v>
      </c>
    </row>
    <row r="78" spans="1:16" ht="15" x14ac:dyDescent="0.3"/>
    <row r="79" spans="1:16" ht="15" x14ac:dyDescent="0.3">
      <c r="B79" s="51" t="s">
        <v>298</v>
      </c>
    </row>
    <row r="80" spans="1:16" x14ac:dyDescent="0.3">
      <c r="B80" s="51" t="s">
        <v>300</v>
      </c>
    </row>
    <row r="81" spans="7:7" hidden="1" x14ac:dyDescent="0.3"/>
    <row r="82" spans="7:7" hidden="1" x14ac:dyDescent="0.3"/>
    <row r="83" spans="7:7" hidden="1" x14ac:dyDescent="0.3">
      <c r="G83" s="6"/>
    </row>
    <row r="84" spans="7:7" ht="15" hidden="1" x14ac:dyDescent="0.3">
      <c r="G84" s="6"/>
    </row>
    <row r="85" spans="7:7" x14ac:dyDescent="0.3"/>
    <row r="86" spans="7:7" x14ac:dyDescent="0.3"/>
    <row r="87" spans="7:7" x14ac:dyDescent="0.3"/>
    <row r="88" spans="7:7" x14ac:dyDescent="0.3"/>
    <row r="89" spans="7:7" x14ac:dyDescent="0.3"/>
    <row r="90" spans="7:7" x14ac:dyDescent="0.3"/>
  </sheetData>
  <autoFilter ref="A5:P77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RowColHeaders="0" topLeftCell="A4" workbookViewId="0">
      <selection activeCell="H3" sqref="H3"/>
    </sheetView>
  </sheetViews>
  <sheetFormatPr defaultColWidth="0" defaultRowHeight="14.4" zeroHeight="1" x14ac:dyDescent="0.3"/>
  <cols>
    <col min="1" max="1" width="4.44140625" style="14" customWidth="1"/>
    <col min="2" max="3" width="9.109375" style="14" customWidth="1"/>
    <col min="4" max="4" width="5.109375" style="14" customWidth="1"/>
    <col min="5" max="5" width="10.44140625" style="14" bestFit="1" customWidth="1"/>
    <col min="6" max="6" width="5.109375" style="14" customWidth="1"/>
    <col min="7" max="7" width="18" style="14" bestFit="1" customWidth="1"/>
    <col min="8" max="12" width="9.109375" style="14" customWidth="1"/>
    <col min="13" max="13" width="5.44140625" style="14" customWidth="1"/>
    <col min="14" max="14" width="10.88671875" style="14" customWidth="1"/>
    <col min="15" max="15" width="4.88671875" style="14" customWidth="1"/>
    <col min="16" max="16" width="18" style="14" bestFit="1" customWidth="1"/>
    <col min="17" max="21" width="9.109375" style="14" customWidth="1"/>
    <col min="22" max="22" width="5.109375" style="14" customWidth="1"/>
    <col min="23" max="23" width="10.44140625" style="14" bestFit="1" customWidth="1"/>
    <col min="24" max="24" width="5.5546875" style="14" customWidth="1"/>
    <col min="25" max="25" width="19.109375" style="14" customWidth="1"/>
    <col min="26" max="27" width="9.109375" style="14" customWidth="1"/>
    <col min="28" max="16384" width="9.109375" style="14" hidden="1"/>
  </cols>
  <sheetData>
    <row r="1" spans="4:25" x14ac:dyDescent="0.3"/>
    <row r="2" spans="4:25" x14ac:dyDescent="0.3"/>
    <row r="3" spans="4:25" x14ac:dyDescent="0.3"/>
    <row r="4" spans="4:25" x14ac:dyDescent="0.3">
      <c r="D4" s="63" t="s">
        <v>271</v>
      </c>
      <c r="E4" s="63"/>
      <c r="F4" s="63"/>
      <c r="G4" s="63"/>
      <c r="M4" s="64" t="s">
        <v>16</v>
      </c>
      <c r="N4" s="64"/>
      <c r="O4" s="64"/>
      <c r="P4" s="64"/>
      <c r="V4" s="65" t="s">
        <v>272</v>
      </c>
      <c r="W4" s="65"/>
      <c r="X4" s="65"/>
      <c r="Y4" s="65"/>
    </row>
    <row r="5" spans="4:25" x14ac:dyDescent="0.3"/>
    <row r="6" spans="4:25" x14ac:dyDescent="0.3">
      <c r="D6" s="15" t="s">
        <v>277</v>
      </c>
      <c r="E6" s="15"/>
      <c r="F6" s="15" t="s">
        <v>270</v>
      </c>
      <c r="G6" s="15" t="s">
        <v>276</v>
      </c>
      <c r="M6" s="19" t="s">
        <v>277</v>
      </c>
      <c r="N6" s="19"/>
      <c r="O6" s="19" t="s">
        <v>270</v>
      </c>
      <c r="P6" s="19" t="s">
        <v>276</v>
      </c>
      <c r="V6" s="20" t="s">
        <v>277</v>
      </c>
      <c r="W6" s="20"/>
      <c r="X6" s="20" t="s">
        <v>270</v>
      </c>
      <c r="Y6" s="20" t="s">
        <v>276</v>
      </c>
    </row>
    <row r="7" spans="4:25" x14ac:dyDescent="0.3">
      <c r="D7" s="16">
        <v>1</v>
      </c>
      <c r="E7" s="16" t="s">
        <v>278</v>
      </c>
      <c r="F7" s="16">
        <f>COUNTIF('Ofertas 2021'!K:K,'IPO por mês'!D7)</f>
        <v>3</v>
      </c>
      <c r="G7" s="17">
        <f>SUMIF('Ofertas 2021'!K:K,'IPO por mês'!D7,'Ofertas 2021'!O:O)</f>
        <v>4852177040</v>
      </c>
      <c r="M7" s="16">
        <v>1</v>
      </c>
      <c r="N7" s="16" t="s">
        <v>278</v>
      </c>
      <c r="O7" s="16">
        <f>COUNTIFS('Ofertas 2021'!K:K,'IPO por mês'!M7,'Ofertas 2021'!I:I,"S")</f>
        <v>2</v>
      </c>
      <c r="P7" s="17">
        <f>SUMIFS('Ofertas 2021'!O:O,'Ofertas 2021'!K:K,'IPO por mês'!M7,'Ofertas 2021'!I:I,"S")</f>
        <v>2107326480</v>
      </c>
      <c r="V7" s="16">
        <v>1</v>
      </c>
      <c r="W7" s="16" t="s">
        <v>278</v>
      </c>
      <c r="X7" s="16">
        <f>COUNTIFS('Ofertas 2021'!K:K,V7,'Ofertas 2021'!I:I,"N")</f>
        <v>1</v>
      </c>
      <c r="Y7" s="17">
        <f>SUMIFS('Ofertas 2021'!O:O,'Ofertas 2021'!K:K,V7,'Ofertas 2021'!I:I,"N")</f>
        <v>2744850560</v>
      </c>
    </row>
    <row r="8" spans="4:25" x14ac:dyDescent="0.3">
      <c r="D8" s="16">
        <v>2</v>
      </c>
      <c r="E8" s="16" t="s">
        <v>279</v>
      </c>
      <c r="F8" s="16">
        <f>COUNTIF('Ofertas 2021'!K:K,'IPO por mês'!D8)</f>
        <v>18</v>
      </c>
      <c r="G8" s="17">
        <f>SUMIF('Ofertas 2021'!K:K,'IPO por mês'!D8,'Ofertas 2021'!O:O)</f>
        <v>28063954576.359997</v>
      </c>
      <c r="M8" s="16">
        <v>2</v>
      </c>
      <c r="N8" s="16" t="s">
        <v>279</v>
      </c>
      <c r="O8" s="16">
        <f>COUNTIFS('Ofertas 2021'!K:K,'IPO por mês'!M8,'Ofertas 2021'!I:I,"S")</f>
        <v>13</v>
      </c>
      <c r="P8" s="17">
        <f>SUMIFS('Ofertas 2021'!O:O,'Ofertas 2021'!K:K,'IPO por mês'!M8,'Ofertas 2021'!I:I,"S")</f>
        <v>19235756823.799999</v>
      </c>
      <c r="V8" s="16">
        <v>2</v>
      </c>
      <c r="W8" s="16" t="s">
        <v>279</v>
      </c>
      <c r="X8" s="16">
        <f>COUNTIFS('Ofertas 2021'!K:K,V8,'Ofertas 2021'!I:I,"N")</f>
        <v>5</v>
      </c>
      <c r="Y8" s="17">
        <f>SUMIFS('Ofertas 2021'!O:O,'Ofertas 2021'!K:K,V8,'Ofertas 2021'!I:I,"N")</f>
        <v>8828197752.5599995</v>
      </c>
    </row>
    <row r="9" spans="4:25" x14ac:dyDescent="0.3">
      <c r="D9" s="16">
        <v>3</v>
      </c>
      <c r="E9" s="16" t="s">
        <v>280</v>
      </c>
      <c r="F9" s="16">
        <f>COUNTIF('Ofertas 2021'!K:K,'IPO por mês'!D9)</f>
        <v>0</v>
      </c>
      <c r="G9" s="17">
        <f>SUMIF('Ofertas 2021'!K:K,'IPO por mês'!D9,'Ofertas 2021'!O:O)</f>
        <v>0</v>
      </c>
      <c r="M9" s="16">
        <v>3</v>
      </c>
      <c r="N9" s="16" t="s">
        <v>280</v>
      </c>
      <c r="O9" s="16">
        <f>COUNTIFS('Ofertas 2021'!K:K,'IPO por mês'!M9,'Ofertas 2021'!I:I,"S")</f>
        <v>0</v>
      </c>
      <c r="P9" s="17">
        <f>SUMIFS('Ofertas 2021'!O:O,'Ofertas 2021'!K:K,'IPO por mês'!M9,'Ofertas 2021'!I:I,"S")</f>
        <v>0</v>
      </c>
      <c r="V9" s="16">
        <v>3</v>
      </c>
      <c r="W9" s="16" t="s">
        <v>280</v>
      </c>
      <c r="X9" s="16">
        <f>COUNTIFS('Ofertas 2021'!K:K,V9,'Ofertas 2021'!I:I,"N")</f>
        <v>0</v>
      </c>
      <c r="Y9" s="17">
        <f>SUMIFS('Ofertas 2021'!O:O,'Ofertas 2021'!K:K,V9,'Ofertas 2021'!I:I,"N")</f>
        <v>0</v>
      </c>
    </row>
    <row r="10" spans="4:25" x14ac:dyDescent="0.3">
      <c r="D10" s="16">
        <v>4</v>
      </c>
      <c r="E10" s="16" t="s">
        <v>281</v>
      </c>
      <c r="F10" s="16">
        <f>COUNTIF('Ofertas 2021'!K:K,'IPO por mês'!D10)</f>
        <v>12</v>
      </c>
      <c r="G10" s="17">
        <f>SUMIF('Ofertas 2021'!K:K,'IPO por mês'!D10,'Ofertas 2021'!O:O)</f>
        <v>21345465344.019997</v>
      </c>
      <c r="M10" s="16">
        <v>4</v>
      </c>
      <c r="N10" s="16" t="s">
        <v>281</v>
      </c>
      <c r="O10" s="16">
        <f>COUNTIFS('Ofertas 2021'!K:K,'IPO por mês'!M10,'Ofertas 2021'!I:I,"S")</f>
        <v>7</v>
      </c>
      <c r="P10" s="17">
        <f>SUMIFS('Ofertas 2021'!O:O,'Ofertas 2021'!K:K,'IPO por mês'!M10,'Ofertas 2021'!I:I,"S")</f>
        <v>12229624019.02</v>
      </c>
      <c r="V10" s="16">
        <v>4</v>
      </c>
      <c r="W10" s="16" t="s">
        <v>281</v>
      </c>
      <c r="X10" s="16">
        <f>COUNTIFS('Ofertas 2021'!K:K,V10,'Ofertas 2021'!I:I,"N")</f>
        <v>5</v>
      </c>
      <c r="Y10" s="17">
        <f>SUMIFS('Ofertas 2021'!O:O,'Ofertas 2021'!K:K,V10,'Ofertas 2021'!I:I,"N")</f>
        <v>9115841325</v>
      </c>
    </row>
    <row r="11" spans="4:25" x14ac:dyDescent="0.3">
      <c r="D11" s="16">
        <v>5</v>
      </c>
      <c r="E11" s="16" t="s">
        <v>282</v>
      </c>
      <c r="F11" s="16">
        <f>COUNTIF('Ofertas 2021'!K:K,'IPO por mês'!D11)</f>
        <v>7</v>
      </c>
      <c r="G11" s="17">
        <f>SUMIF('Ofertas 2021'!K:K,'IPO por mês'!D11,'Ofertas 2021'!O:O)</f>
        <v>12314501503.32</v>
      </c>
      <c r="M11" s="16">
        <v>5</v>
      </c>
      <c r="N11" s="16" t="s">
        <v>282</v>
      </c>
      <c r="O11" s="16">
        <f>COUNTIFS('Ofertas 2021'!K:K,'IPO por mês'!M11,'Ofertas 2021'!I:I,"S")</f>
        <v>5</v>
      </c>
      <c r="P11" s="17">
        <f>SUMIFS('Ofertas 2021'!O:O,'Ofertas 2021'!K:K,'IPO por mês'!M11,'Ofertas 2021'!I:I,"S")</f>
        <v>3447441503.3200002</v>
      </c>
      <c r="V11" s="16">
        <v>5</v>
      </c>
      <c r="W11" s="16" t="s">
        <v>282</v>
      </c>
      <c r="X11" s="16">
        <f>COUNTIFS('Ofertas 2021'!K:K,V11,'Ofertas 2021'!I:I,"N")</f>
        <v>2</v>
      </c>
      <c r="Y11" s="17">
        <f>SUMIFS('Ofertas 2021'!O:O,'Ofertas 2021'!K:K,V11,'Ofertas 2021'!I:I,"N")</f>
        <v>8867060000</v>
      </c>
    </row>
    <row r="12" spans="4:25" x14ac:dyDescent="0.3">
      <c r="D12" s="16">
        <v>6</v>
      </c>
      <c r="E12" s="16" t="s">
        <v>283</v>
      </c>
      <c r="F12" s="16">
        <f>COUNTIF('Ofertas 2021'!K:K,'IPO por mês'!D12)</f>
        <v>4</v>
      </c>
      <c r="G12" s="17">
        <f>SUMIF('Ofertas 2021'!K:K,'IPO por mês'!D12,'Ofertas 2021'!O:O)</f>
        <v>10848127290.24</v>
      </c>
      <c r="M12" s="16">
        <v>6</v>
      </c>
      <c r="N12" s="16" t="s">
        <v>283</v>
      </c>
      <c r="O12" s="16">
        <f>COUNTIFS('Ofertas 2021'!K:K,'IPO por mês'!M12,'Ofertas 2021'!I:I,"S")</f>
        <v>1</v>
      </c>
      <c r="P12" s="17">
        <f>SUMIFS('Ofertas 2021'!O:O,'Ofertas 2021'!K:K,'IPO por mês'!M12,'Ofertas 2021'!I:I,"S")</f>
        <v>400400000</v>
      </c>
      <c r="V12" s="16">
        <v>6</v>
      </c>
      <c r="W12" s="16" t="s">
        <v>283</v>
      </c>
      <c r="X12" s="16">
        <f>COUNTIFS('Ofertas 2021'!K:K,V12,'Ofertas 2021'!I:I,"N")</f>
        <v>3</v>
      </c>
      <c r="Y12" s="17">
        <f>SUMIFS('Ofertas 2021'!O:O,'Ofertas 2021'!K:K,V12,'Ofertas 2021'!I:I,"N")</f>
        <v>10447727290.24</v>
      </c>
    </row>
    <row r="13" spans="4:25" x14ac:dyDescent="0.3">
      <c r="D13" s="16">
        <v>7</v>
      </c>
      <c r="E13" s="16" t="s">
        <v>284</v>
      </c>
      <c r="F13" s="16">
        <f>COUNTIF('Ofertas 2021'!K:K,'IPO por mês'!D13)</f>
        <v>16</v>
      </c>
      <c r="G13" s="17">
        <f>SUMIF('Ofertas 2021'!K:K,'IPO por mês'!D13,'Ofertas 2021'!O:O)</f>
        <v>32723800034.849998</v>
      </c>
      <c r="M13" s="16">
        <v>7</v>
      </c>
      <c r="N13" s="16" t="s">
        <v>284</v>
      </c>
      <c r="O13" s="16">
        <f>COUNTIFS('Ofertas 2021'!K:K,'IPO por mês'!M13,'Ofertas 2021'!I:I,"S")</f>
        <v>12</v>
      </c>
      <c r="P13" s="17">
        <f>SUMIFS('Ofertas 2021'!O:O,'Ofertas 2021'!K:K,'IPO por mês'!M13,'Ofertas 2021'!I:I,"S")</f>
        <v>15502846666.849998</v>
      </c>
      <c r="V13" s="16">
        <v>7</v>
      </c>
      <c r="W13" s="16" t="s">
        <v>284</v>
      </c>
      <c r="X13" s="16">
        <f>COUNTIFS('Ofertas 2021'!K:K,V13,'Ofertas 2021'!I:I,"N")</f>
        <v>4</v>
      </c>
      <c r="Y13" s="17">
        <f>SUMIFS('Ofertas 2021'!O:O,'Ofertas 2021'!K:K,V13,'Ofertas 2021'!I:I,"N")</f>
        <v>17220953368</v>
      </c>
    </row>
    <row r="14" spans="4:25" x14ac:dyDescent="0.3">
      <c r="D14" s="16">
        <v>8</v>
      </c>
      <c r="E14" s="16" t="s">
        <v>285</v>
      </c>
      <c r="F14" s="16">
        <f>COUNTIF('Ofertas 2021'!K:K,'IPO por mês'!D14)</f>
        <v>4</v>
      </c>
      <c r="G14" s="17">
        <f>SUMIF('Ofertas 2021'!K:K,'IPO por mês'!D14,'Ofertas 2021'!O:O)</f>
        <v>12786303440.059999</v>
      </c>
      <c r="M14" s="16">
        <v>8</v>
      </c>
      <c r="N14" s="16" t="s">
        <v>285</v>
      </c>
      <c r="O14" s="16">
        <f>COUNTIFS('Ofertas 2021'!K:K,'IPO por mês'!M14,'Ofertas 2021'!I:I,"S")</f>
        <v>4</v>
      </c>
      <c r="P14" s="17">
        <f>SUMIFS('Ofertas 2021'!O:O,'Ofertas 2021'!K:K,'IPO por mês'!M14,'Ofertas 2021'!I:I,"S")</f>
        <v>12786303440.059999</v>
      </c>
      <c r="V14" s="16">
        <v>8</v>
      </c>
      <c r="W14" s="16" t="s">
        <v>285</v>
      </c>
      <c r="X14" s="16">
        <f>COUNTIFS('Ofertas 2021'!K:K,V14,'Ofertas 2021'!I:I,"N")</f>
        <v>0</v>
      </c>
      <c r="Y14" s="17">
        <f>SUMIFS('Ofertas 2021'!O:O,'Ofertas 2021'!K:K,V14,'Ofertas 2021'!I:I,"N")</f>
        <v>0</v>
      </c>
    </row>
    <row r="15" spans="4:25" x14ac:dyDescent="0.3">
      <c r="D15" s="16">
        <v>9</v>
      </c>
      <c r="E15" s="16" t="s">
        <v>286</v>
      </c>
      <c r="F15" s="16">
        <f>COUNTIF('Ofertas 2021'!K:K,'IPO por mês'!D15)</f>
        <v>5</v>
      </c>
      <c r="G15" s="17">
        <f>SUMIF('Ofertas 2021'!K:K,'IPO por mês'!D15,'Ofertas 2021'!O:O)</f>
        <v>4493747343.8999996</v>
      </c>
      <c r="M15" s="16">
        <v>9</v>
      </c>
      <c r="N15" s="16" t="s">
        <v>286</v>
      </c>
      <c r="O15" s="16">
        <f>COUNTIFS('Ofertas 2021'!K:K,'IPO por mês'!M15,'Ofertas 2021'!I:I,"S")</f>
        <v>1</v>
      </c>
      <c r="P15" s="17">
        <f>SUMIFS('Ofertas 2021'!O:O,'Ofertas 2021'!K:K,'IPO por mês'!M15,'Ofertas 2021'!I:I,"S")</f>
        <v>435999996.39999998</v>
      </c>
      <c r="V15" s="16">
        <v>9</v>
      </c>
      <c r="W15" s="16" t="s">
        <v>286</v>
      </c>
      <c r="X15" s="16">
        <f>COUNTIFS('Ofertas 2021'!K:K,V15,'Ofertas 2021'!I:I,"N")</f>
        <v>4</v>
      </c>
      <c r="Y15" s="17">
        <f>SUMIFS('Ofertas 2021'!O:O,'Ofertas 2021'!K:K,V15,'Ofertas 2021'!I:I,"N")</f>
        <v>4057747347.5</v>
      </c>
    </row>
    <row r="16" spans="4:25" x14ac:dyDescent="0.3">
      <c r="D16" s="16">
        <v>10</v>
      </c>
      <c r="E16" s="16" t="s">
        <v>287</v>
      </c>
      <c r="F16" s="16">
        <f>COUNTIF('Ofertas 2021'!K:K,'IPO por mês'!D16)</f>
        <v>0</v>
      </c>
      <c r="G16" s="17">
        <f>SUMIF('Ofertas 2021'!K:K,'IPO por mês'!D16,'Ofertas 2021'!O:O)</f>
        <v>0</v>
      </c>
      <c r="M16" s="16">
        <v>10</v>
      </c>
      <c r="N16" s="16" t="s">
        <v>287</v>
      </c>
      <c r="O16" s="16">
        <f>COUNTIFS('Ofertas 2021'!K:K,'IPO por mês'!M16,'Ofertas 2021'!I:I,"S")</f>
        <v>0</v>
      </c>
      <c r="P16" s="17">
        <f>SUMIFS('Ofertas 2021'!O:O,'Ofertas 2021'!K:K,'IPO por mês'!M16,'Ofertas 2021'!I:I,"S")</f>
        <v>0</v>
      </c>
      <c r="V16" s="16">
        <v>10</v>
      </c>
      <c r="W16" s="16" t="s">
        <v>287</v>
      </c>
      <c r="X16" s="16">
        <f>COUNTIFS('Ofertas 2021'!K:K,V16,'Ofertas 2021'!I:I,"N")</f>
        <v>0</v>
      </c>
      <c r="Y16" s="17">
        <f>SUMIFS('Ofertas 2021'!O:O,'Ofertas 2021'!K:K,V16,'Ofertas 2021'!I:I,"N")</f>
        <v>0</v>
      </c>
    </row>
    <row r="17" spans="4:25" x14ac:dyDescent="0.3">
      <c r="D17" s="16">
        <v>11</v>
      </c>
      <c r="E17" s="16" t="s">
        <v>288</v>
      </c>
      <c r="F17" s="16">
        <f>COUNTIF('Ofertas 2021'!K:K,'IPO por mês'!D17)</f>
        <v>2</v>
      </c>
      <c r="G17" s="17">
        <f>SUMIF('Ofertas 2021'!K:K,'IPO por mês'!D17,'Ofertas 2021'!O:O)</f>
        <v>3188000000</v>
      </c>
      <c r="M17" s="16">
        <v>11</v>
      </c>
      <c r="N17" s="16" t="s">
        <v>288</v>
      </c>
      <c r="O17" s="16">
        <f>COUNTIFS('Ofertas 2021'!K:K,'IPO por mês'!M17,'Ofertas 2021'!I:I,"S")</f>
        <v>0</v>
      </c>
      <c r="P17" s="17">
        <f>SUMIFS('Ofertas 2021'!O:O,'Ofertas 2021'!K:K,'IPO por mês'!M17,'Ofertas 2021'!I:I,"S")</f>
        <v>0</v>
      </c>
      <c r="V17" s="16">
        <v>11</v>
      </c>
      <c r="W17" s="16" t="s">
        <v>288</v>
      </c>
      <c r="X17" s="16">
        <f>COUNTIFS('Ofertas 2021'!K:K,V17,'Ofertas 2021'!I:I,"N")</f>
        <v>2</v>
      </c>
      <c r="Y17" s="17">
        <f>SUMIFS('Ofertas 2021'!O:O,'Ofertas 2021'!K:K,V17,'Ofertas 2021'!I:I,"N")</f>
        <v>3188000000</v>
      </c>
    </row>
    <row r="18" spans="4:25" x14ac:dyDescent="0.3">
      <c r="D18" s="16">
        <v>12</v>
      </c>
      <c r="E18" s="16" t="s">
        <v>289</v>
      </c>
      <c r="F18" s="16">
        <f>COUNTIF('Ofertas 2021'!K:K,'IPO por mês'!D18)</f>
        <v>1</v>
      </c>
      <c r="G18" s="17">
        <f>SUMIF('Ofertas 2021'!K:K,'IPO por mês'!D18,'Ofertas 2021'!O:O)</f>
        <v>405680536</v>
      </c>
      <c r="M18" s="16">
        <v>12</v>
      </c>
      <c r="N18" s="16" t="s">
        <v>289</v>
      </c>
      <c r="O18" s="16">
        <f>COUNTIFS('Ofertas 2021'!K:K,'IPO por mês'!M18,'Ofertas 2021'!I:I,"S")</f>
        <v>1</v>
      </c>
      <c r="P18" s="17">
        <f>SUMIFS('Ofertas 2021'!O:O,'Ofertas 2021'!K:K,'IPO por mês'!M18,'Ofertas 2021'!I:I,"S")</f>
        <v>405680536</v>
      </c>
      <c r="V18" s="16">
        <v>12</v>
      </c>
      <c r="W18" s="16" t="s">
        <v>289</v>
      </c>
      <c r="X18" s="16">
        <f>COUNTIFS('Ofertas 2021'!K:K,V18,'Ofertas 2021'!I:I,"N")</f>
        <v>0</v>
      </c>
      <c r="Y18" s="17">
        <f>SUMIFS('Ofertas 2021'!O:O,'Ofertas 2021'!K:K,V18,'Ofertas 2021'!I:I,"N")</f>
        <v>0</v>
      </c>
    </row>
    <row r="19" spans="4:25" x14ac:dyDescent="0.3"/>
    <row r="20" spans="4:25" x14ac:dyDescent="0.3"/>
    <row r="21" spans="4:25" x14ac:dyDescent="0.3"/>
    <row r="22" spans="4:25" x14ac:dyDescent="0.3"/>
    <row r="23" spans="4:25" x14ac:dyDescent="0.3"/>
    <row r="24" spans="4:25" x14ac:dyDescent="0.3"/>
    <row r="25" spans="4:25" x14ac:dyDescent="0.3"/>
    <row r="26" spans="4:25" x14ac:dyDescent="0.3"/>
    <row r="27" spans="4:25" x14ac:dyDescent="0.3"/>
    <row r="28" spans="4:25" x14ac:dyDescent="0.3"/>
    <row r="29" spans="4:25" x14ac:dyDescent="0.3"/>
    <row r="30" spans="4:25" x14ac:dyDescent="0.3"/>
    <row r="31" spans="4:25" x14ac:dyDescent="0.3"/>
    <row r="32" spans="4:25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</sheetData>
  <mergeCells count="3">
    <mergeCell ref="D4:G4"/>
    <mergeCell ref="M4:P4"/>
    <mergeCell ref="V4:Y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Relatório - Todas Ofertas</vt:lpstr>
      <vt:lpstr>Relatórios (Ocultar)</vt:lpstr>
      <vt:lpstr>Relatório - Follow-On</vt:lpstr>
      <vt:lpstr>Relatório - IPO</vt:lpstr>
      <vt:lpstr>Ofertas por setor</vt:lpstr>
      <vt:lpstr>Rankings de IPO</vt:lpstr>
      <vt:lpstr>Ofertas 2021</vt:lpstr>
      <vt:lpstr>IPO por mês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arthurb</dc:creator>
  <cp:lastModifiedBy>Carla Reis</cp:lastModifiedBy>
  <dcterms:created xsi:type="dcterms:W3CDTF">2022-01-18T18:43:26Z</dcterms:created>
  <dcterms:modified xsi:type="dcterms:W3CDTF">2022-02-14T13:26:42Z</dcterms:modified>
</cp:coreProperties>
</file>